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192.168.12.1\smo\SLP-Compras\ADM_FINANCEIRO\CONTRATOS\"/>
    </mc:Choice>
  </mc:AlternateContent>
  <xr:revisionPtr revIDLastSave="0" documentId="13_ncr:1_{6E1ADDF7-7FD9-4FFF-9ED6-86E49AA662AD}" xr6:coauthVersionLast="47" xr6:coauthVersionMax="47" xr10:uidLastSave="{00000000-0000-0000-0000-000000000000}"/>
  <bookViews>
    <workbookView xWindow="-120" yWindow="-120" windowWidth="29040" windowHeight="15840" tabRatio="500" xr2:uid="{00000000-000D-0000-FFFF-FFFF00000000}"/>
  </bookViews>
  <sheets>
    <sheet name="CONTRATOS VIGENTES" sheetId="1" r:id="rId1"/>
    <sheet name="FORNECIMENTO_SMA" sheetId="2" r:id="rId2"/>
    <sheet name="CONTRATOS FINALIZADOS" sheetId="3" r:id="rId3"/>
    <sheet name="LISTAS SUSPENSAS" sheetId="4" r:id="rId4"/>
    <sheet name="FISCAIS"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s>
  <definedNames>
    <definedName name="_FilterDatabase_0" localSheetId="2">'CONTRATOS FINALIZADOS'!$C$3:$AD$3</definedName>
    <definedName name="_FilterDatabase_0" localSheetId="0">'CONTRATOS VIGENTES'!$D$3:$AG$3</definedName>
    <definedName name="_xlnm._FilterDatabase" localSheetId="2" hidden="1">'CONTRATOS FINALIZADOS'!$B$3:$AK$39</definedName>
    <definedName name="_xlnm._FilterDatabase" localSheetId="0" hidden="1">'CONTRATOS VIGENTES'!$B$3:$AN$117</definedName>
    <definedName name="_xlnm._FilterDatabase" localSheetId="1" hidden="1">FORNECIMENTO_SMA!$B$3:$M$17</definedName>
    <definedName name="Google_Sheet_Link_172817744_543235649" localSheetId="2">'CONTRATOS FINALIZADOS'!_FilterDatabase_0</definedName>
    <definedName name="Google_Sheet_Link_172817744_543235649">_filterdatabase_0</definedName>
    <definedName name="Z_48C5F9D6_E054_4D18_B900_70E7EC6A126C_.wvu.FilterData" localSheetId="2">'CONTRATOS FINALIZADOS'!$C$1:$AK$24</definedName>
    <definedName name="Z_48C5F9D6_E054_4D18_B900_70E7EC6A126C_.wvu.FilterData" localSheetId="0">'CONTRATOS VIGENTES'!$D$1:$AN$31</definedName>
    <definedName name="Z_48C5F9D6_E054_4D18_B900_70E7EC6A126C_.wvu.FilterData" localSheetId="1">FORNECIMENTO_SMA!$A$3:$L$473</definedName>
    <definedName name="Z_53658696_8B82_4D2F_8FC2_6D2371F4AC0F_.wvu.FilterData" localSheetId="2">'CONTRATOS FINALIZADOS'!$C$3:$AK$4</definedName>
    <definedName name="Z_53658696_8B82_4D2F_8FC2_6D2371F4AC0F_.wvu.FilterData" localSheetId="0">'CONTRATOS VIGENTES'!$D$3:$AN$5</definedName>
    <definedName name="Z_5C5D17F7_9EC8_4629_B16B_61F6A3ED0E80_.wvu.FilterData" localSheetId="2">'CONTRATOS FINALIZADOS'!$C$1:$AK$24</definedName>
    <definedName name="Z_5C5D17F7_9EC8_4629_B16B_61F6A3ED0E80_.wvu.FilterData" localSheetId="0">'CONTRATOS VIGENTES'!$D$1:$AN$38</definedName>
    <definedName name="Z_65716689_D68C_4559_9DCB_E668F0A181E6_.wvu.FilterData" localSheetId="2">'CONTRATOS FINALIZADOS'!$C$3:$AK$4</definedName>
    <definedName name="Z_65716689_D68C_4559_9DCB_E668F0A181E6_.wvu.FilterData" localSheetId="0">'CONTRATOS VIGENTES'!$D$3:$AN$5</definedName>
    <definedName name="Z_69B362D0_7DC0_48CB_9578_900201967AC0_.wvu.FilterData" localSheetId="2">'CONTRATOS FINALIZADOS'!$C$1:$AK$24</definedName>
    <definedName name="Z_69B362D0_7DC0_48CB_9578_900201967AC0_.wvu.FilterData" localSheetId="0">'CONTRATOS VIGENTES'!$D$1:$AN$38</definedName>
    <definedName name="Z_9A0E25A5_90C6_4230_B92C_F47C46FEABC9_.wvu.FilterData" localSheetId="2">'CONTRATOS FINALIZADOS'!$C$3:$AK$4</definedName>
    <definedName name="Z_9A0E25A5_90C6_4230_B92C_F47C46FEABC9_.wvu.FilterData" localSheetId="0">'CONTRATOS VIGENTES'!$D$3:$AN$5</definedName>
    <definedName name="Z_E6611980_E9E7_49CC_82EA_07A0C87DCC58_.wvu.FilterData" localSheetId="2">'CONTRATOS FINALIZADOS'!$C$1:$AK$24</definedName>
    <definedName name="Z_E6611980_E9E7_49CC_82EA_07A0C87DCC58_.wvu.FilterData" localSheetId="0">'CONTRATOS VIGENTES'!$D$1:$AN$38</definedName>
    <definedName name="Z_F53F981B_AC5F_4B70_8AE7_319F0CF75366_.wvu.FilterData" localSheetId="2">'CONTRATOS FINALIZADOS'!$C$3:$AS$4</definedName>
    <definedName name="Z_F53F981B_AC5F_4B70_8AE7_319F0CF75366_.wvu.FilterData" localSheetId="0">'CONTRATOS VIGENTES'!$D$3:$AV$5</definedName>
  </definedNames>
  <calcPr calcId="18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O38" i="3" l="1"/>
  <c r="P38" i="3" s="1"/>
  <c r="K38" i="3"/>
  <c r="L38" i="3" s="1"/>
  <c r="O37" i="3"/>
  <c r="P37" i="3" s="1"/>
  <c r="K37" i="3"/>
  <c r="L37" i="3" s="1"/>
  <c r="O36" i="3"/>
  <c r="P36" i="3" s="1"/>
  <c r="K36" i="3"/>
  <c r="L36" i="3" s="1"/>
  <c r="W35" i="3"/>
  <c r="O35" i="3"/>
  <c r="P35" i="3" s="1"/>
  <c r="K35" i="3"/>
  <c r="L35" i="3" s="1"/>
  <c r="O34" i="3"/>
  <c r="P34" i="3" s="1"/>
  <c r="K34" i="3"/>
  <c r="L34" i="3" s="1"/>
  <c r="AH33" i="3"/>
  <c r="AG33" i="3"/>
  <c r="X33" i="3"/>
  <c r="W33" i="3"/>
  <c r="O33" i="3"/>
  <c r="P33" i="3" s="1"/>
  <c r="K33" i="3"/>
  <c r="L33" i="3" s="1"/>
  <c r="AH32" i="3"/>
  <c r="AG32" i="3"/>
  <c r="X32" i="3"/>
  <c r="O32" i="3"/>
  <c r="P32" i="3" s="1"/>
  <c r="K32" i="3"/>
  <c r="L32" i="3" s="1"/>
  <c r="AH31" i="3"/>
  <c r="AG31" i="3"/>
  <c r="O31" i="3"/>
  <c r="P31" i="3" s="1"/>
  <c r="K31" i="3"/>
  <c r="L31" i="3" s="1"/>
  <c r="O30" i="3"/>
  <c r="P30" i="3" s="1"/>
  <c r="K30" i="3"/>
  <c r="L30" i="3" s="1"/>
  <c r="O29" i="3"/>
  <c r="P29" i="3" s="1"/>
  <c r="K29" i="3"/>
  <c r="L29" i="3" s="1"/>
  <c r="AH28" i="3"/>
  <c r="O28" i="3"/>
  <c r="P28" i="3" s="1"/>
  <c r="K28" i="3"/>
  <c r="L28" i="3" s="1"/>
  <c r="P27" i="3"/>
  <c r="K27" i="3"/>
  <c r="L27" i="3" s="1"/>
  <c r="O26" i="3"/>
  <c r="P26" i="3" s="1"/>
  <c r="M26" i="3"/>
  <c r="K26" i="3"/>
  <c r="L26" i="3" s="1"/>
  <c r="O25" i="3"/>
  <c r="P25" i="3" s="1"/>
  <c r="K25" i="3"/>
  <c r="L25" i="3" s="1"/>
  <c r="AF24" i="3"/>
  <c r="AH24" i="3" s="1"/>
  <c r="AG24" i="3" s="1"/>
  <c r="T24" i="3"/>
  <c r="O24" i="3"/>
  <c r="P24" i="3" s="1"/>
  <c r="K24" i="3"/>
  <c r="L24" i="3" s="1"/>
  <c r="AF23" i="3"/>
  <c r="AH23" i="3" s="1"/>
  <c r="AG23" i="3" s="1"/>
  <c r="T23" i="3"/>
  <c r="O23" i="3"/>
  <c r="P23" i="3" s="1"/>
  <c r="K23" i="3"/>
  <c r="L23" i="3" s="1"/>
  <c r="AF22" i="3"/>
  <c r="AH22" i="3" s="1"/>
  <c r="AG22" i="3" s="1"/>
  <c r="T22" i="3"/>
  <c r="O22" i="3"/>
  <c r="P22" i="3" s="1"/>
  <c r="K22" i="3"/>
  <c r="L22" i="3" s="1"/>
  <c r="AF21" i="3"/>
  <c r="AH21" i="3" s="1"/>
  <c r="AG21" i="3" s="1"/>
  <c r="T21" i="3"/>
  <c r="O21" i="3"/>
  <c r="P21" i="3" s="1"/>
  <c r="K21" i="3"/>
  <c r="L21" i="3" s="1"/>
  <c r="AF20" i="3"/>
  <c r="AH20" i="3" s="1"/>
  <c r="AG20" i="3" s="1"/>
  <c r="T20" i="3"/>
  <c r="O20" i="3"/>
  <c r="P20" i="3" s="1"/>
  <c r="K20" i="3"/>
  <c r="L20" i="3" s="1"/>
  <c r="AF19" i="3"/>
  <c r="AH19" i="3" s="1"/>
  <c r="AG19" i="3" s="1"/>
  <c r="T19" i="3"/>
  <c r="O19" i="3"/>
  <c r="P19" i="3" s="1"/>
  <c r="K19" i="3"/>
  <c r="L19" i="3" s="1"/>
  <c r="AF18" i="3"/>
  <c r="AH18" i="3" s="1"/>
  <c r="AG18" i="3" s="1"/>
  <c r="T18" i="3"/>
  <c r="O18" i="3"/>
  <c r="P18" i="3" s="1"/>
  <c r="K18" i="3"/>
  <c r="L18" i="3" s="1"/>
  <c r="AF17" i="3"/>
  <c r="AH17" i="3" s="1"/>
  <c r="AG17" i="3" s="1"/>
  <c r="T17" i="3"/>
  <c r="O17" i="3"/>
  <c r="P17" i="3" s="1"/>
  <c r="K17" i="3"/>
  <c r="L17" i="3" s="1"/>
  <c r="AF16" i="3"/>
  <c r="AH16" i="3" s="1"/>
  <c r="AG16" i="3" s="1"/>
  <c r="T16" i="3"/>
  <c r="O16" i="3"/>
  <c r="P16" i="3" s="1"/>
  <c r="K16" i="3"/>
  <c r="L16" i="3" s="1"/>
  <c r="AF15" i="3"/>
  <c r="AH15" i="3" s="1"/>
  <c r="AG15" i="3" s="1"/>
  <c r="T15" i="3"/>
  <c r="O15" i="3"/>
  <c r="P15" i="3" s="1"/>
  <c r="K15" i="3"/>
  <c r="L15" i="3" s="1"/>
  <c r="AF14" i="3"/>
  <c r="AH14" i="3" s="1"/>
  <c r="AG14" i="3" s="1"/>
  <c r="T14" i="3"/>
  <c r="O14" i="3"/>
  <c r="P14" i="3" s="1"/>
  <c r="K14" i="3"/>
  <c r="L14" i="3" s="1"/>
  <c r="AF13" i="3"/>
  <c r="AH13" i="3" s="1"/>
  <c r="AG13" i="3" s="1"/>
  <c r="T13" i="3"/>
  <c r="O13" i="3"/>
  <c r="P13" i="3" s="1"/>
  <c r="K13" i="3"/>
  <c r="L13" i="3" s="1"/>
  <c r="AF12" i="3"/>
  <c r="AH12" i="3" s="1"/>
  <c r="AG12" i="3" s="1"/>
  <c r="T12" i="3"/>
  <c r="O12" i="3"/>
  <c r="P12" i="3" s="1"/>
  <c r="K12" i="3"/>
  <c r="L12" i="3" s="1"/>
  <c r="AF11" i="3"/>
  <c r="AH11" i="3" s="1"/>
  <c r="AG11" i="3" s="1"/>
  <c r="X11" i="3"/>
  <c r="W11" i="3"/>
  <c r="T11" i="3"/>
  <c r="Q11" i="3"/>
  <c r="O11" i="3"/>
  <c r="P11" i="3" s="1"/>
  <c r="M11" i="3"/>
  <c r="K11" i="3"/>
  <c r="L11" i="3" s="1"/>
  <c r="AF10" i="3"/>
  <c r="AH10" i="3" s="1"/>
  <c r="AG10" i="3" s="1"/>
  <c r="X10" i="3"/>
  <c r="W10" i="3"/>
  <c r="W39" i="3" s="1"/>
  <c r="T10" i="3"/>
  <c r="O10" i="3"/>
  <c r="P10" i="3" s="1"/>
  <c r="K10" i="3"/>
  <c r="L10" i="3" s="1"/>
  <c r="AF9" i="3"/>
  <c r="AH9" i="3" s="1"/>
  <c r="AG9" i="3" s="1"/>
  <c r="T9" i="3"/>
  <c r="O9" i="3"/>
  <c r="P9" i="3" s="1"/>
  <c r="K9" i="3"/>
  <c r="L9" i="3" s="1"/>
  <c r="AF8" i="3"/>
  <c r="AH8" i="3" s="1"/>
  <c r="AG8" i="3" s="1"/>
  <c r="V8" i="3"/>
  <c r="T8" i="3"/>
  <c r="Q8" i="3"/>
  <c r="O8" i="3"/>
  <c r="P8" i="3" s="1"/>
  <c r="N8" i="3"/>
  <c r="M8" i="3"/>
  <c r="K8" i="3"/>
  <c r="L8" i="3" s="1"/>
  <c r="J8" i="3"/>
  <c r="AF7" i="3"/>
  <c r="AH7" i="3" s="1"/>
  <c r="AG7" i="3" s="1"/>
  <c r="T7" i="3"/>
  <c r="O7" i="3"/>
  <c r="P7" i="3" s="1"/>
  <c r="K7" i="3"/>
  <c r="L7" i="3" s="1"/>
  <c r="AF6" i="3"/>
  <c r="AH6" i="3" s="1"/>
  <c r="AG6" i="3" s="1"/>
  <c r="T6" i="3"/>
  <c r="O6" i="3"/>
  <c r="P6" i="3" s="1"/>
  <c r="K6" i="3"/>
  <c r="L6" i="3" s="1"/>
  <c r="AF5" i="3"/>
  <c r="AH5" i="3" s="1"/>
  <c r="AG5" i="3" s="1"/>
  <c r="V5" i="3"/>
  <c r="V39" i="3" s="1"/>
  <c r="T5" i="3"/>
  <c r="O5" i="3"/>
  <c r="P5" i="3" s="1"/>
  <c r="K5" i="3"/>
  <c r="L5" i="3" s="1"/>
  <c r="AF4" i="3"/>
  <c r="AH4" i="3" s="1"/>
  <c r="AG4" i="3" s="1"/>
  <c r="T4" i="3"/>
  <c r="O4" i="3"/>
  <c r="P4" i="3" s="1"/>
  <c r="K4" i="3"/>
  <c r="L4" i="3" s="1"/>
  <c r="H17" i="2"/>
  <c r="H16" i="2"/>
  <c r="H15" i="2"/>
  <c r="H14" i="2"/>
  <c r="H13" i="2"/>
  <c r="H12" i="2"/>
  <c r="H11" i="2"/>
  <c r="H10" i="2"/>
  <c r="H9" i="2"/>
  <c r="H8" i="2"/>
  <c r="H7" i="2"/>
  <c r="H6" i="2"/>
  <c r="H5" i="2"/>
  <c r="H4" i="2"/>
  <c r="Q116" i="1"/>
  <c r="M116" i="1"/>
  <c r="N116" i="1" s="1"/>
  <c r="L116" i="1"/>
  <c r="R115" i="1"/>
  <c r="S115" i="1" s="1"/>
  <c r="Q115" i="1"/>
  <c r="M115" i="1"/>
  <c r="N115" i="1" s="1"/>
  <c r="M114" i="1"/>
  <c r="N114" i="1" s="1"/>
  <c r="L114" i="1"/>
  <c r="R113" i="1"/>
  <c r="S113" i="1" s="1"/>
  <c r="Q113" i="1"/>
  <c r="M113" i="1"/>
  <c r="N113" i="1" s="1"/>
  <c r="L113" i="1"/>
  <c r="R112" i="1"/>
  <c r="S112" i="1" s="1"/>
  <c r="Q112" i="1"/>
  <c r="M112" i="1"/>
  <c r="N112" i="1" s="1"/>
  <c r="L112" i="1"/>
  <c r="R111" i="1"/>
  <c r="S111" i="1" s="1"/>
  <c r="Q111" i="1"/>
  <c r="M111" i="1"/>
  <c r="N111" i="1" s="1"/>
  <c r="L111" i="1"/>
  <c r="R110" i="1"/>
  <c r="S110" i="1" s="1"/>
  <c r="Q110" i="1"/>
  <c r="M110" i="1"/>
  <c r="N110" i="1" s="1"/>
  <c r="L110" i="1"/>
  <c r="R109" i="1"/>
  <c r="S109" i="1" s="1"/>
  <c r="Q109" i="1"/>
  <c r="M109" i="1"/>
  <c r="N109" i="1" s="1"/>
  <c r="L109" i="1"/>
  <c r="R108" i="1"/>
  <c r="S108" i="1" s="1"/>
  <c r="Q108" i="1"/>
  <c r="M108" i="1"/>
  <c r="N108" i="1" s="1"/>
  <c r="L108" i="1"/>
  <c r="R107" i="1"/>
  <c r="S107" i="1" s="1"/>
  <c r="Q107" i="1"/>
  <c r="M107" i="1"/>
  <c r="N107" i="1" s="1"/>
  <c r="L107" i="1"/>
  <c r="R106" i="1"/>
  <c r="S106" i="1" s="1"/>
  <c r="Q106" i="1"/>
  <c r="M106" i="1"/>
  <c r="N106" i="1" s="1"/>
  <c r="L106" i="1"/>
  <c r="R105" i="1"/>
  <c r="S105" i="1" s="1"/>
  <c r="Q105" i="1"/>
  <c r="M105" i="1"/>
  <c r="N105" i="1" s="1"/>
  <c r="L105" i="1"/>
  <c r="R104" i="1"/>
  <c r="S104" i="1" s="1"/>
  <c r="Q104" i="1"/>
  <c r="M104" i="1"/>
  <c r="N104" i="1" s="1"/>
  <c r="L104" i="1"/>
  <c r="R103" i="1"/>
  <c r="S103" i="1" s="1"/>
  <c r="Q103" i="1"/>
  <c r="M103" i="1"/>
  <c r="N103" i="1" s="1"/>
  <c r="L103" i="1"/>
  <c r="R102" i="1"/>
  <c r="S102" i="1" s="1"/>
  <c r="Q102" i="1"/>
  <c r="M102" i="1"/>
  <c r="N102" i="1" s="1"/>
  <c r="L102" i="1"/>
  <c r="AK101" i="1"/>
  <c r="AA101" i="1"/>
  <c r="R101" i="1"/>
  <c r="S101" i="1" s="1"/>
  <c r="Q101" i="1"/>
  <c r="M101" i="1"/>
  <c r="N101" i="1" s="1"/>
  <c r="L101" i="1"/>
  <c r="AA100" i="1"/>
  <c r="R100" i="1"/>
  <c r="S100" i="1" s="1"/>
  <c r="Q100" i="1"/>
  <c r="M100" i="1"/>
  <c r="N100" i="1" s="1"/>
  <c r="L100" i="1"/>
  <c r="AK99" i="1"/>
  <c r="AA99" i="1"/>
  <c r="R99" i="1"/>
  <c r="S99" i="1" s="1"/>
  <c r="Q99" i="1"/>
  <c r="M99" i="1"/>
  <c r="N99" i="1" s="1"/>
  <c r="L99" i="1"/>
  <c r="AK98" i="1"/>
  <c r="AA98" i="1"/>
  <c r="R98" i="1"/>
  <c r="S98" i="1" s="1"/>
  <c r="Q98" i="1"/>
  <c r="M98" i="1"/>
  <c r="N98" i="1" s="1"/>
  <c r="L98" i="1"/>
  <c r="AK97" i="1"/>
  <c r="AJ97" i="1"/>
  <c r="AA97" i="1"/>
  <c r="R97" i="1"/>
  <c r="S97" i="1" s="1"/>
  <c r="Q97" i="1"/>
  <c r="M97" i="1"/>
  <c r="N97" i="1" s="1"/>
  <c r="L97" i="1"/>
  <c r="AK96" i="1"/>
  <c r="AJ96" i="1"/>
  <c r="AA96" i="1"/>
  <c r="R96" i="1"/>
  <c r="S96" i="1" s="1"/>
  <c r="Q96" i="1"/>
  <c r="M96" i="1"/>
  <c r="N96" i="1" s="1"/>
  <c r="L96" i="1"/>
  <c r="AJ95" i="1"/>
  <c r="AA95" i="1"/>
  <c r="R95" i="1"/>
  <c r="S95" i="1" s="1"/>
  <c r="Q95" i="1"/>
  <c r="M95" i="1"/>
  <c r="N95" i="1" s="1"/>
  <c r="L95" i="1"/>
  <c r="AJ94" i="1"/>
  <c r="AA94" i="1"/>
  <c r="R94" i="1"/>
  <c r="S94" i="1" s="1"/>
  <c r="Q94" i="1"/>
  <c r="M94" i="1"/>
  <c r="N94" i="1" s="1"/>
  <c r="L94" i="1"/>
  <c r="AJ93" i="1"/>
  <c r="AI93" i="1"/>
  <c r="AA93" i="1"/>
  <c r="R93" i="1"/>
  <c r="S93" i="1" s="1"/>
  <c r="Q93" i="1"/>
  <c r="M93" i="1"/>
  <c r="N93" i="1" s="1"/>
  <c r="L93" i="1"/>
  <c r="AI92" i="1"/>
  <c r="AK92" i="1" s="1"/>
  <c r="AJ92" i="1" s="1"/>
  <c r="AA92" i="1"/>
  <c r="R92" i="1"/>
  <c r="S92" i="1" s="1"/>
  <c r="Q92" i="1"/>
  <c r="M92" i="1"/>
  <c r="N92" i="1" s="1"/>
  <c r="L92" i="1"/>
  <c r="AI91" i="1"/>
  <c r="AK91" i="1" s="1"/>
  <c r="AJ91" i="1" s="1"/>
  <c r="AA91" i="1"/>
  <c r="R91" i="1"/>
  <c r="S91" i="1" s="1"/>
  <c r="Q91" i="1"/>
  <c r="M91" i="1"/>
  <c r="N91" i="1" s="1"/>
  <c r="L91" i="1"/>
  <c r="AI90" i="1"/>
  <c r="AK90" i="1" s="1"/>
  <c r="AJ90" i="1" s="1"/>
  <c r="AA90" i="1"/>
  <c r="Z90" i="1"/>
  <c r="W90" i="1"/>
  <c r="R90" i="1"/>
  <c r="S90" i="1" s="1"/>
  <c r="Q90" i="1"/>
  <c r="M90" i="1"/>
  <c r="N90" i="1" s="1"/>
  <c r="L90" i="1"/>
  <c r="AK89" i="1"/>
  <c r="AJ89" i="1"/>
  <c r="AA89" i="1"/>
  <c r="Z89" i="1"/>
  <c r="R89" i="1"/>
  <c r="S89" i="1" s="1"/>
  <c r="Q89" i="1"/>
  <c r="M89" i="1"/>
  <c r="N89" i="1" s="1"/>
  <c r="L89" i="1"/>
  <c r="AK88" i="1"/>
  <c r="AJ88" i="1"/>
  <c r="AA88" i="1"/>
  <c r="W88" i="1"/>
  <c r="R88" i="1"/>
  <c r="S88" i="1" s="1"/>
  <c r="Q88" i="1"/>
  <c r="M88" i="1"/>
  <c r="N88" i="1" s="1"/>
  <c r="L88" i="1"/>
  <c r="AI87" i="1"/>
  <c r="AK87" i="1" s="1"/>
  <c r="AJ87" i="1" s="1"/>
  <c r="AA87" i="1"/>
  <c r="W87" i="1"/>
  <c r="R87" i="1"/>
  <c r="S87" i="1" s="1"/>
  <c r="Q87" i="1"/>
  <c r="M87" i="1"/>
  <c r="N87" i="1" s="1"/>
  <c r="L87" i="1"/>
  <c r="AK86" i="1"/>
  <c r="AJ86" i="1"/>
  <c r="AA86" i="1"/>
  <c r="Z86" i="1"/>
  <c r="W86" i="1"/>
  <c r="R86" i="1"/>
  <c r="S86" i="1" s="1"/>
  <c r="Q86" i="1"/>
  <c r="M86" i="1"/>
  <c r="N86" i="1" s="1"/>
  <c r="L86" i="1"/>
  <c r="AI85" i="1"/>
  <c r="AK85" i="1" s="1"/>
  <c r="AJ85" i="1" s="1"/>
  <c r="AA85" i="1"/>
  <c r="Z85" i="1"/>
  <c r="W85" i="1"/>
  <c r="R85" i="1"/>
  <c r="S85" i="1" s="1"/>
  <c r="Q85" i="1"/>
  <c r="M85" i="1"/>
  <c r="N85" i="1" s="1"/>
  <c r="L85" i="1"/>
  <c r="AI84" i="1"/>
  <c r="AK84" i="1" s="1"/>
  <c r="AJ84" i="1" s="1"/>
  <c r="W84" i="1"/>
  <c r="R84" i="1"/>
  <c r="S84" i="1" s="1"/>
  <c r="Q84" i="1"/>
  <c r="M84" i="1"/>
  <c r="N84" i="1" s="1"/>
  <c r="L84" i="1"/>
  <c r="AI83" i="1"/>
  <c r="AK83" i="1" s="1"/>
  <c r="AJ83" i="1" s="1"/>
  <c r="AA83" i="1"/>
  <c r="Z83" i="1"/>
  <c r="W83" i="1"/>
  <c r="R83" i="1"/>
  <c r="S83" i="1" s="1"/>
  <c r="Q83" i="1"/>
  <c r="M83" i="1"/>
  <c r="N83" i="1" s="1"/>
  <c r="L83" i="1"/>
  <c r="AI82" i="1"/>
  <c r="AK82" i="1" s="1"/>
  <c r="AJ82" i="1" s="1"/>
  <c r="AA82" i="1"/>
  <c r="Z82" i="1"/>
  <c r="W82" i="1"/>
  <c r="R82" i="1"/>
  <c r="S82" i="1" s="1"/>
  <c r="Q82" i="1"/>
  <c r="M82" i="1"/>
  <c r="N82" i="1" s="1"/>
  <c r="L82" i="1"/>
  <c r="AI81" i="1"/>
  <c r="AK81" i="1" s="1"/>
  <c r="AJ81" i="1" s="1"/>
  <c r="AA81" i="1"/>
  <c r="Z81" i="1"/>
  <c r="W81" i="1"/>
  <c r="R81" i="1"/>
  <c r="S81" i="1" s="1"/>
  <c r="Q81" i="1"/>
  <c r="M81" i="1"/>
  <c r="N81" i="1" s="1"/>
  <c r="L81" i="1"/>
  <c r="AI80" i="1"/>
  <c r="AK80" i="1" s="1"/>
  <c r="AJ80" i="1" s="1"/>
  <c r="W80" i="1"/>
  <c r="T80" i="1"/>
  <c r="R80" i="1"/>
  <c r="S80" i="1" s="1"/>
  <c r="Q80" i="1"/>
  <c r="O80" i="1"/>
  <c r="M80" i="1"/>
  <c r="N80" i="1" s="1"/>
  <c r="L80" i="1"/>
  <c r="AI79" i="1"/>
  <c r="AK79" i="1" s="1"/>
  <c r="AJ79" i="1" s="1"/>
  <c r="W79" i="1"/>
  <c r="T79" i="1"/>
  <c r="R79" i="1"/>
  <c r="S79" i="1" s="1"/>
  <c r="Q79" i="1"/>
  <c r="O79" i="1"/>
  <c r="M79" i="1"/>
  <c r="N79" i="1" s="1"/>
  <c r="L79" i="1"/>
  <c r="AI78" i="1"/>
  <c r="AK78" i="1" s="1"/>
  <c r="AJ78" i="1" s="1"/>
  <c r="W78" i="1"/>
  <c r="R78" i="1"/>
  <c r="S78" i="1" s="1"/>
  <c r="Q78" i="1"/>
  <c r="O78" i="1"/>
  <c r="M78" i="1"/>
  <c r="N78" i="1" s="1"/>
  <c r="L78" i="1"/>
  <c r="AK77" i="1"/>
  <c r="AJ77" i="1"/>
  <c r="AA77" i="1"/>
  <c r="Z77" i="1"/>
  <c r="W77" i="1"/>
  <c r="R77" i="1"/>
  <c r="S77" i="1" s="1"/>
  <c r="Q77" i="1"/>
  <c r="M77" i="1"/>
  <c r="N77" i="1" s="1"/>
  <c r="AI76" i="1"/>
  <c r="AK76" i="1" s="1"/>
  <c r="AJ76" i="1" s="1"/>
  <c r="AA76" i="1"/>
  <c r="Z76" i="1"/>
  <c r="W76" i="1"/>
  <c r="R76" i="1"/>
  <c r="S76" i="1" s="1"/>
  <c r="Q76" i="1"/>
  <c r="M76" i="1"/>
  <c r="N76" i="1" s="1"/>
  <c r="L76" i="1"/>
  <c r="AI75" i="1"/>
  <c r="AK75" i="1" s="1"/>
  <c r="AJ75" i="1" s="1"/>
  <c r="W75" i="1"/>
  <c r="T75" i="1"/>
  <c r="R75" i="1"/>
  <c r="S75" i="1" s="1"/>
  <c r="O75" i="1"/>
  <c r="M75" i="1"/>
  <c r="N75" i="1" s="1"/>
  <c r="AI74" i="1"/>
  <c r="AK74" i="1" s="1"/>
  <c r="AJ74" i="1" s="1"/>
  <c r="W74" i="1"/>
  <c r="R74" i="1"/>
  <c r="S74" i="1" s="1"/>
  <c r="Q74" i="1"/>
  <c r="P74" i="1"/>
  <c r="M74" i="1"/>
  <c r="N74" i="1" s="1"/>
  <c r="L74" i="1"/>
  <c r="AI73" i="1"/>
  <c r="AK73" i="1" s="1"/>
  <c r="AJ73" i="1" s="1"/>
  <c r="Y73" i="1"/>
  <c r="W73" i="1"/>
  <c r="Q73" i="1"/>
  <c r="P73" i="1"/>
  <c r="T73" i="1" s="1"/>
  <c r="R73" i="1" s="1"/>
  <c r="S73" i="1" s="1"/>
  <c r="O73" i="1"/>
  <c r="M73" i="1"/>
  <c r="N73" i="1" s="1"/>
  <c r="L73" i="1"/>
  <c r="AI72" i="1"/>
  <c r="AK72" i="1" s="1"/>
  <c r="AJ72" i="1" s="1"/>
  <c r="W72" i="1"/>
  <c r="R72" i="1"/>
  <c r="S72" i="1" s="1"/>
  <c r="Q72" i="1"/>
  <c r="M72" i="1"/>
  <c r="N72" i="1" s="1"/>
  <c r="L72" i="1"/>
  <c r="AI71" i="1"/>
  <c r="AK71" i="1" s="1"/>
  <c r="AJ71" i="1" s="1"/>
  <c r="AA71" i="1"/>
  <c r="W71" i="1"/>
  <c r="R71" i="1"/>
  <c r="S71" i="1" s="1"/>
  <c r="Q71" i="1"/>
  <c r="M71" i="1"/>
  <c r="N71" i="1" s="1"/>
  <c r="L71" i="1"/>
  <c r="AK70" i="1"/>
  <c r="AJ70" i="1"/>
  <c r="AA70" i="1"/>
  <c r="W70" i="1"/>
  <c r="R70" i="1"/>
  <c r="S70" i="1" s="1"/>
  <c r="Q70" i="1"/>
  <c r="M70" i="1"/>
  <c r="N70" i="1" s="1"/>
  <c r="L70" i="1"/>
  <c r="AI69" i="1"/>
  <c r="AK69" i="1" s="1"/>
  <c r="AJ69" i="1" s="1"/>
  <c r="AA69" i="1"/>
  <c r="W69" i="1"/>
  <c r="R69" i="1"/>
  <c r="S69" i="1" s="1"/>
  <c r="Q69" i="1"/>
  <c r="M69" i="1"/>
  <c r="N69" i="1" s="1"/>
  <c r="L69" i="1"/>
  <c r="AK68" i="1"/>
  <c r="AJ68" i="1"/>
  <c r="AA68" i="1"/>
  <c r="W68" i="1"/>
  <c r="R68" i="1"/>
  <c r="S68" i="1" s="1"/>
  <c r="Q68" i="1"/>
  <c r="M68" i="1"/>
  <c r="N68" i="1" s="1"/>
  <c r="L68" i="1"/>
  <c r="AK67" i="1"/>
  <c r="AJ67" i="1"/>
  <c r="W67" i="1"/>
  <c r="R67" i="1"/>
  <c r="S67" i="1" s="1"/>
  <c r="Q67" i="1"/>
  <c r="M67" i="1"/>
  <c r="N67" i="1" s="1"/>
  <c r="L67" i="1"/>
  <c r="AI66" i="1"/>
  <c r="AK66" i="1" s="1"/>
  <c r="AJ66" i="1" s="1"/>
  <c r="AA66" i="1"/>
  <c r="W66" i="1"/>
  <c r="R66" i="1"/>
  <c r="S66" i="1" s="1"/>
  <c r="Q66" i="1"/>
  <c r="M66" i="1"/>
  <c r="N66" i="1" s="1"/>
  <c r="L66" i="1"/>
  <c r="AI65" i="1"/>
  <c r="AK65" i="1" s="1"/>
  <c r="AJ65" i="1" s="1"/>
  <c r="AA65" i="1"/>
  <c r="W65" i="1"/>
  <c r="R65" i="1"/>
  <c r="S65" i="1" s="1"/>
  <c r="Q65" i="1"/>
  <c r="M65" i="1"/>
  <c r="N65" i="1" s="1"/>
  <c r="L65" i="1"/>
  <c r="AI64" i="1"/>
  <c r="AK64" i="1" s="1"/>
  <c r="AJ64" i="1" s="1"/>
  <c r="AA64" i="1"/>
  <c r="W64" i="1"/>
  <c r="R64" i="1"/>
  <c r="S64" i="1" s="1"/>
  <c r="Q64" i="1"/>
  <c r="M64" i="1"/>
  <c r="N64" i="1" s="1"/>
  <c r="L64" i="1"/>
  <c r="AK63" i="1"/>
  <c r="AJ63" i="1"/>
  <c r="W63" i="1"/>
  <c r="R63" i="1"/>
  <c r="S63" i="1" s="1"/>
  <c r="Q63" i="1"/>
  <c r="M63" i="1"/>
  <c r="N63" i="1" s="1"/>
  <c r="L63" i="1"/>
  <c r="AK62" i="1"/>
  <c r="AJ62" i="1"/>
  <c r="Z62" i="1"/>
  <c r="AA62" i="1" s="1"/>
  <c r="W62" i="1"/>
  <c r="R62" i="1"/>
  <c r="S62" i="1" s="1"/>
  <c r="Q62" i="1"/>
  <c r="M62" i="1"/>
  <c r="N62" i="1" s="1"/>
  <c r="L62" i="1"/>
  <c r="AK61" i="1"/>
  <c r="AJ61" i="1"/>
  <c r="Z61" i="1"/>
  <c r="AA61" i="1" s="1"/>
  <c r="W61" i="1"/>
  <c r="R61" i="1"/>
  <c r="S61" i="1" s="1"/>
  <c r="Q61" i="1"/>
  <c r="M61" i="1"/>
  <c r="N61" i="1" s="1"/>
  <c r="L61" i="1"/>
  <c r="AI60" i="1"/>
  <c r="AK60" i="1" s="1"/>
  <c r="AJ60" i="1" s="1"/>
  <c r="W60" i="1"/>
  <c r="R60" i="1"/>
  <c r="S60" i="1" s="1"/>
  <c r="Q60" i="1"/>
  <c r="M60" i="1"/>
  <c r="N60" i="1" s="1"/>
  <c r="L60" i="1"/>
  <c r="AI59" i="1"/>
  <c r="AK59" i="1" s="1"/>
  <c r="AJ59" i="1" s="1"/>
  <c r="AA59" i="1"/>
  <c r="W59" i="1"/>
  <c r="R59" i="1"/>
  <c r="S59" i="1" s="1"/>
  <c r="Q59" i="1"/>
  <c r="M59" i="1"/>
  <c r="N59" i="1" s="1"/>
  <c r="L59" i="1"/>
  <c r="AI58" i="1"/>
  <c r="AK58" i="1" s="1"/>
  <c r="AJ58" i="1" s="1"/>
  <c r="AA58" i="1"/>
  <c r="Z58" i="1"/>
  <c r="W58" i="1"/>
  <c r="T58" i="1"/>
  <c r="R58" i="1"/>
  <c r="S58" i="1" s="1"/>
  <c r="Q58" i="1"/>
  <c r="O58" i="1"/>
  <c r="M58" i="1"/>
  <c r="N58" i="1" s="1"/>
  <c r="L58" i="1"/>
  <c r="AK57" i="1"/>
  <c r="AJ57" i="1"/>
  <c r="AA57" i="1"/>
  <c r="Z57" i="1"/>
  <c r="W57" i="1"/>
  <c r="R57" i="1"/>
  <c r="S57" i="1" s="1"/>
  <c r="Q57" i="1"/>
  <c r="M57" i="1"/>
  <c r="N57" i="1" s="1"/>
  <c r="L57" i="1"/>
  <c r="AI56" i="1"/>
  <c r="AK56" i="1" s="1"/>
  <c r="AJ56" i="1" s="1"/>
  <c r="AA56" i="1"/>
  <c r="Z56" i="1"/>
  <c r="W56" i="1"/>
  <c r="T56" i="1"/>
  <c r="R56" i="1"/>
  <c r="S56" i="1" s="1"/>
  <c r="Q56" i="1"/>
  <c r="O56" i="1"/>
  <c r="M56" i="1"/>
  <c r="N56" i="1" s="1"/>
  <c r="L56" i="1"/>
  <c r="AI55" i="1"/>
  <c r="AK55" i="1" s="1"/>
  <c r="AJ55" i="1" s="1"/>
  <c r="AA55" i="1"/>
  <c r="Z55" i="1"/>
  <c r="W55" i="1"/>
  <c r="R55" i="1"/>
  <c r="S55" i="1" s="1"/>
  <c r="Q55" i="1"/>
  <c r="M55" i="1"/>
  <c r="N55" i="1" s="1"/>
  <c r="L55" i="1"/>
  <c r="AK54" i="1"/>
  <c r="AJ54" i="1"/>
  <c r="AA54" i="1"/>
  <c r="Z54" i="1"/>
  <c r="W54" i="1"/>
  <c r="R54" i="1"/>
  <c r="S54" i="1" s="1"/>
  <c r="Q54" i="1"/>
  <c r="M54" i="1"/>
  <c r="N54" i="1" s="1"/>
  <c r="L54" i="1"/>
  <c r="AI53" i="1"/>
  <c r="AK53" i="1" s="1"/>
  <c r="AJ53" i="1" s="1"/>
  <c r="AA53" i="1"/>
  <c r="Z53" i="1"/>
  <c r="W53" i="1"/>
  <c r="R53" i="1"/>
  <c r="S53" i="1" s="1"/>
  <c r="Q53" i="1"/>
  <c r="M53" i="1"/>
  <c r="N53" i="1" s="1"/>
  <c r="L53" i="1"/>
  <c r="AK52" i="1"/>
  <c r="AJ52" i="1"/>
  <c r="AA52" i="1"/>
  <c r="Z52" i="1"/>
  <c r="W52" i="1"/>
  <c r="R52" i="1"/>
  <c r="S52" i="1" s="1"/>
  <c r="Q52" i="1"/>
  <c r="M52" i="1"/>
  <c r="N52" i="1" s="1"/>
  <c r="L52" i="1"/>
  <c r="AK51" i="1"/>
  <c r="AJ51" i="1"/>
  <c r="AA51" i="1"/>
  <c r="Z51" i="1"/>
  <c r="W51" i="1"/>
  <c r="R51" i="1"/>
  <c r="S51" i="1" s="1"/>
  <c r="Q51" i="1"/>
  <c r="M51" i="1"/>
  <c r="N51" i="1" s="1"/>
  <c r="L51" i="1"/>
  <c r="AK50" i="1"/>
  <c r="AJ50" i="1"/>
  <c r="AA50" i="1"/>
  <c r="R50" i="1"/>
  <c r="S50" i="1" s="1"/>
  <c r="Q50" i="1"/>
  <c r="M50" i="1"/>
  <c r="N50" i="1" s="1"/>
  <c r="L50" i="1"/>
  <c r="AI49" i="1"/>
  <c r="AK49" i="1" s="1"/>
  <c r="AJ49" i="1" s="1"/>
  <c r="AA49" i="1"/>
  <c r="Z49" i="1"/>
  <c r="W49" i="1"/>
  <c r="T49" i="1"/>
  <c r="R49" i="1"/>
  <c r="S49" i="1" s="1"/>
  <c r="Q49" i="1"/>
  <c r="O49" i="1"/>
  <c r="M49" i="1"/>
  <c r="N49" i="1" s="1"/>
  <c r="L49" i="1"/>
  <c r="AK48" i="1"/>
  <c r="AJ48" i="1"/>
  <c r="AA48" i="1"/>
  <c r="Z48" i="1"/>
  <c r="W48" i="1"/>
  <c r="R48" i="1"/>
  <c r="S48" i="1" s="1"/>
  <c r="Q48" i="1"/>
  <c r="M48" i="1"/>
  <c r="N48" i="1" s="1"/>
  <c r="L48" i="1"/>
  <c r="AI47" i="1"/>
  <c r="AK47" i="1" s="1"/>
  <c r="AJ47" i="1" s="1"/>
  <c r="AA47" i="1"/>
  <c r="Z47" i="1"/>
  <c r="W47" i="1"/>
  <c r="R47" i="1"/>
  <c r="S47" i="1" s="1"/>
  <c r="Q47" i="1"/>
  <c r="M47" i="1"/>
  <c r="N47" i="1" s="1"/>
  <c r="L47" i="1"/>
  <c r="AK46" i="1"/>
  <c r="AJ46" i="1"/>
  <c r="AA46" i="1"/>
  <c r="Z46" i="1"/>
  <c r="R46" i="1"/>
  <c r="S46" i="1" s="1"/>
  <c r="Q46" i="1"/>
  <c r="M46" i="1"/>
  <c r="N46" i="1" s="1"/>
  <c r="L46" i="1"/>
  <c r="AK45" i="1"/>
  <c r="AJ45" i="1"/>
  <c r="AA45" i="1"/>
  <c r="Z45" i="1"/>
  <c r="W45" i="1"/>
  <c r="R45" i="1"/>
  <c r="S45" i="1" s="1"/>
  <c r="Q45" i="1"/>
  <c r="M45" i="1"/>
  <c r="N45" i="1" s="1"/>
  <c r="L45" i="1"/>
  <c r="AK44" i="1"/>
  <c r="AJ44" i="1"/>
  <c r="AA44" i="1"/>
  <c r="Z44" i="1"/>
  <c r="W44" i="1"/>
  <c r="R44" i="1"/>
  <c r="S44" i="1" s="1"/>
  <c r="Q44" i="1"/>
  <c r="M44" i="1"/>
  <c r="N44" i="1" s="1"/>
  <c r="L44" i="1"/>
  <c r="AI43" i="1"/>
  <c r="AK43" i="1" s="1"/>
  <c r="AJ43" i="1" s="1"/>
  <c r="AA43" i="1"/>
  <c r="Z43" i="1"/>
  <c r="W43" i="1"/>
  <c r="T43" i="1"/>
  <c r="R43" i="1"/>
  <c r="S43" i="1" s="1"/>
  <c r="Q43" i="1"/>
  <c r="O43" i="1"/>
  <c r="M43" i="1"/>
  <c r="N43" i="1" s="1"/>
  <c r="L43" i="1"/>
  <c r="AK42" i="1"/>
  <c r="AJ42" i="1"/>
  <c r="AA42" i="1"/>
  <c r="Z42" i="1"/>
  <c r="W42" i="1"/>
  <c r="R42" i="1"/>
  <c r="S42" i="1" s="1"/>
  <c r="Q42" i="1"/>
  <c r="M42" i="1"/>
  <c r="N42" i="1" s="1"/>
  <c r="L42" i="1"/>
  <c r="AI41" i="1"/>
  <c r="AK41" i="1" s="1"/>
  <c r="AJ41" i="1" s="1"/>
  <c r="AA41" i="1"/>
  <c r="Z41" i="1"/>
  <c r="W41" i="1"/>
  <c r="R41" i="1"/>
  <c r="S41" i="1" s="1"/>
  <c r="Q41" i="1"/>
  <c r="M41" i="1"/>
  <c r="N41" i="1" s="1"/>
  <c r="L41" i="1"/>
  <c r="AK40" i="1"/>
  <c r="AJ40" i="1"/>
  <c r="AA40" i="1"/>
  <c r="Z40" i="1"/>
  <c r="W40" i="1"/>
  <c r="R40" i="1"/>
  <c r="S40" i="1" s="1"/>
  <c r="Q40" i="1"/>
  <c r="M40" i="1"/>
  <c r="N40" i="1" s="1"/>
  <c r="L40" i="1"/>
  <c r="AK39" i="1"/>
  <c r="AJ39" i="1"/>
  <c r="AA39" i="1"/>
  <c r="Z39" i="1"/>
  <c r="W39" i="1"/>
  <c r="R39" i="1"/>
  <c r="S39" i="1" s="1"/>
  <c r="Q39" i="1"/>
  <c r="M39" i="1"/>
  <c r="N39" i="1" s="1"/>
  <c r="L39" i="1"/>
  <c r="AI38" i="1"/>
  <c r="AK38" i="1" s="1"/>
  <c r="AJ38" i="1" s="1"/>
  <c r="AA38" i="1"/>
  <c r="Z38" i="1"/>
  <c r="V38" i="1"/>
  <c r="W38" i="1" s="1"/>
  <c r="T38" i="1"/>
  <c r="R38" i="1"/>
  <c r="S38" i="1" s="1"/>
  <c r="Q38" i="1"/>
  <c r="O38" i="1"/>
  <c r="M38" i="1"/>
  <c r="N38" i="1" s="1"/>
  <c r="L38" i="1"/>
  <c r="AI37" i="1"/>
  <c r="AK37" i="1" s="1"/>
  <c r="AJ37" i="1" s="1"/>
  <c r="AA37" i="1"/>
  <c r="Z37" i="1"/>
  <c r="W37" i="1"/>
  <c r="R37" i="1"/>
  <c r="S37" i="1" s="1"/>
  <c r="Q37" i="1"/>
  <c r="M37" i="1"/>
  <c r="N37" i="1" s="1"/>
  <c r="L37" i="1"/>
  <c r="AI36" i="1"/>
  <c r="AK36" i="1" s="1"/>
  <c r="AJ36" i="1" s="1"/>
  <c r="AA36" i="1"/>
  <c r="Z36" i="1"/>
  <c r="W36" i="1"/>
  <c r="R36" i="1"/>
  <c r="S36" i="1" s="1"/>
  <c r="Q36" i="1"/>
  <c r="M36" i="1"/>
  <c r="N36" i="1" s="1"/>
  <c r="L36" i="1"/>
  <c r="AI35" i="1"/>
  <c r="AK35" i="1" s="1"/>
  <c r="AJ35" i="1" s="1"/>
  <c r="AA35" i="1"/>
  <c r="Z35" i="1"/>
  <c r="W35" i="1"/>
  <c r="R35" i="1"/>
  <c r="S35" i="1" s="1"/>
  <c r="Q35" i="1"/>
  <c r="M35" i="1"/>
  <c r="N35" i="1" s="1"/>
  <c r="L35" i="1"/>
  <c r="AI34" i="1"/>
  <c r="AK34" i="1" s="1"/>
  <c r="AJ34" i="1" s="1"/>
  <c r="AA34" i="1"/>
  <c r="Z34" i="1"/>
  <c r="W34" i="1"/>
  <c r="R34" i="1"/>
  <c r="S34" i="1" s="1"/>
  <c r="Q34" i="1"/>
  <c r="M34" i="1"/>
  <c r="N34" i="1" s="1"/>
  <c r="L34" i="1"/>
  <c r="AI33" i="1"/>
  <c r="AK33" i="1" s="1"/>
  <c r="AJ33" i="1" s="1"/>
  <c r="AA33" i="1"/>
  <c r="Z33" i="1"/>
  <c r="W33" i="1"/>
  <c r="R33" i="1"/>
  <c r="S33" i="1" s="1"/>
  <c r="Q33" i="1"/>
  <c r="M33" i="1"/>
  <c r="N33" i="1" s="1"/>
  <c r="L33" i="1"/>
  <c r="AK32" i="1"/>
  <c r="AJ32" i="1"/>
  <c r="AA32" i="1"/>
  <c r="Z32" i="1"/>
  <c r="W32" i="1"/>
  <c r="R32" i="1"/>
  <c r="S32" i="1" s="1"/>
  <c r="Q32" i="1"/>
  <c r="M32" i="1"/>
  <c r="N32" i="1" s="1"/>
  <c r="L32" i="1"/>
  <c r="AI31" i="1"/>
  <c r="AK31" i="1" s="1"/>
  <c r="AJ31" i="1" s="1"/>
  <c r="AA31" i="1"/>
  <c r="Z31" i="1"/>
  <c r="W31" i="1"/>
  <c r="R31" i="1"/>
  <c r="S31" i="1" s="1"/>
  <c r="M31" i="1"/>
  <c r="N31" i="1" s="1"/>
  <c r="L31" i="1"/>
  <c r="AI30" i="1"/>
  <c r="AK30" i="1" s="1"/>
  <c r="AJ30" i="1" s="1"/>
  <c r="AA30" i="1"/>
  <c r="Z30" i="1"/>
  <c r="V30" i="1"/>
  <c r="W30" i="1" s="1"/>
  <c r="T30" i="1"/>
  <c r="R30" i="1"/>
  <c r="S30" i="1" s="1"/>
  <c r="Q30" i="1"/>
  <c r="O30" i="1"/>
  <c r="M30" i="1"/>
  <c r="N30" i="1" s="1"/>
  <c r="L30" i="1"/>
  <c r="AI29" i="1"/>
  <c r="AK29" i="1" s="1"/>
  <c r="AJ29" i="1" s="1"/>
  <c r="AA29" i="1"/>
  <c r="Z29" i="1"/>
  <c r="W29" i="1"/>
  <c r="R29" i="1"/>
  <c r="S29" i="1" s="1"/>
  <c r="Q29" i="1"/>
  <c r="M29" i="1"/>
  <c r="N29" i="1" s="1"/>
  <c r="L29" i="1"/>
  <c r="AK28" i="1"/>
  <c r="AJ28" i="1"/>
  <c r="AA28" i="1"/>
  <c r="Z28" i="1"/>
  <c r="W28" i="1"/>
  <c r="R28" i="1"/>
  <c r="S28" i="1" s="1"/>
  <c r="Q28" i="1"/>
  <c r="M28" i="1"/>
  <c r="N28" i="1" s="1"/>
  <c r="L28" i="1"/>
  <c r="AI27" i="1"/>
  <c r="AK27" i="1" s="1"/>
  <c r="AJ27" i="1" s="1"/>
  <c r="AA27" i="1"/>
  <c r="Z27" i="1"/>
  <c r="W27" i="1"/>
  <c r="R27" i="1"/>
  <c r="S27" i="1" s="1"/>
  <c r="Q27" i="1"/>
  <c r="M27" i="1"/>
  <c r="N27" i="1" s="1"/>
  <c r="L27" i="1"/>
  <c r="AK26" i="1"/>
  <c r="AJ26" i="1"/>
  <c r="AA26" i="1"/>
  <c r="Z26" i="1"/>
  <c r="W26" i="1"/>
  <c r="R26" i="1"/>
  <c r="S26" i="1" s="1"/>
  <c r="Q26" i="1"/>
  <c r="M26" i="1"/>
  <c r="N26" i="1" s="1"/>
  <c r="L26" i="1"/>
  <c r="AK25" i="1"/>
  <c r="AJ25" i="1"/>
  <c r="AA25" i="1"/>
  <c r="Z25" i="1"/>
  <c r="W25" i="1"/>
  <c r="R25" i="1"/>
  <c r="S25" i="1" s="1"/>
  <c r="Q25" i="1"/>
  <c r="M25" i="1"/>
  <c r="N25" i="1" s="1"/>
  <c r="L25" i="1"/>
  <c r="AI24" i="1"/>
  <c r="AK24" i="1" s="1"/>
  <c r="AJ24" i="1" s="1"/>
  <c r="AA24" i="1"/>
  <c r="Z24" i="1"/>
  <c r="W24" i="1"/>
  <c r="R24" i="1"/>
  <c r="S24" i="1" s="1"/>
  <c r="Q24" i="1"/>
  <c r="M24" i="1"/>
  <c r="N24" i="1" s="1"/>
  <c r="L24" i="1"/>
  <c r="AK23" i="1"/>
  <c r="AJ23" i="1"/>
  <c r="AA23" i="1"/>
  <c r="Z23" i="1"/>
  <c r="W23" i="1"/>
  <c r="R23" i="1"/>
  <c r="S23" i="1" s="1"/>
  <c r="Q23" i="1"/>
  <c r="M23" i="1"/>
  <c r="N23" i="1" s="1"/>
  <c r="L23" i="1"/>
  <c r="AI22" i="1"/>
  <c r="AK22" i="1" s="1"/>
  <c r="AJ22" i="1" s="1"/>
  <c r="AA22" i="1"/>
  <c r="Z22" i="1"/>
  <c r="V22" i="1"/>
  <c r="W22" i="1" s="1"/>
  <c r="T22" i="1"/>
  <c r="R22" i="1"/>
  <c r="S22" i="1" s="1"/>
  <c r="Q22" i="1"/>
  <c r="O22" i="1"/>
  <c r="M22" i="1"/>
  <c r="N22" i="1" s="1"/>
  <c r="L22" i="1"/>
  <c r="AI21" i="1"/>
  <c r="AK21" i="1" s="1"/>
  <c r="AJ21" i="1" s="1"/>
  <c r="AA21" i="1"/>
  <c r="Z21" i="1"/>
  <c r="W21" i="1"/>
  <c r="R21" i="1"/>
  <c r="S21" i="1" s="1"/>
  <c r="Q21" i="1"/>
  <c r="M21" i="1"/>
  <c r="N21" i="1" s="1"/>
  <c r="L21" i="1"/>
  <c r="AK20" i="1"/>
  <c r="AJ20" i="1"/>
  <c r="AA20" i="1"/>
  <c r="Z20" i="1"/>
  <c r="W20" i="1"/>
  <c r="T20" i="1"/>
  <c r="R20" i="1"/>
  <c r="S20" i="1" s="1"/>
  <c r="Q20" i="1"/>
  <c r="M20" i="1"/>
  <c r="N20" i="1" s="1"/>
  <c r="L20" i="1"/>
  <c r="AI19" i="1"/>
  <c r="AK19" i="1" s="1"/>
  <c r="AJ19" i="1" s="1"/>
  <c r="AA19" i="1"/>
  <c r="Z19" i="1"/>
  <c r="W19" i="1"/>
  <c r="R19" i="1"/>
  <c r="S19" i="1" s="1"/>
  <c r="Q19" i="1"/>
  <c r="M19" i="1"/>
  <c r="N19" i="1" s="1"/>
  <c r="L19" i="1"/>
  <c r="AK18" i="1"/>
  <c r="AJ18" i="1"/>
  <c r="AA18" i="1"/>
  <c r="Z18" i="1"/>
  <c r="W18" i="1"/>
  <c r="R18" i="1"/>
  <c r="S18" i="1" s="1"/>
  <c r="Q18" i="1"/>
  <c r="M18" i="1"/>
  <c r="N18" i="1" s="1"/>
  <c r="L18" i="1"/>
  <c r="AI17" i="1"/>
  <c r="AK17" i="1" s="1"/>
  <c r="AJ17" i="1" s="1"/>
  <c r="AA17" i="1"/>
  <c r="Z17" i="1"/>
  <c r="W17" i="1"/>
  <c r="R17" i="1"/>
  <c r="S17" i="1" s="1"/>
  <c r="Q17" i="1"/>
  <c r="O17" i="1"/>
  <c r="M17" i="1"/>
  <c r="N17" i="1" s="1"/>
  <c r="L17" i="1"/>
  <c r="AI16" i="1"/>
  <c r="AK16" i="1" s="1"/>
  <c r="AJ16" i="1" s="1"/>
  <c r="AA16" i="1"/>
  <c r="Z16" i="1"/>
  <c r="W16" i="1"/>
  <c r="R16" i="1"/>
  <c r="S16" i="1" s="1"/>
  <c r="M16" i="1"/>
  <c r="N16" i="1" s="1"/>
  <c r="AK15" i="1"/>
  <c r="AJ15" i="1"/>
  <c r="AA15" i="1"/>
  <c r="Z15" i="1"/>
  <c r="W15" i="1"/>
  <c r="R15" i="1"/>
  <c r="S15" i="1" s="1"/>
  <c r="Q15" i="1"/>
  <c r="M15" i="1"/>
  <c r="N15" i="1" s="1"/>
  <c r="L15" i="1"/>
  <c r="AK14" i="1"/>
  <c r="AJ14" i="1"/>
  <c r="AA14" i="1"/>
  <c r="Z14" i="1"/>
  <c r="W14" i="1"/>
  <c r="R14" i="1"/>
  <c r="S14" i="1" s="1"/>
  <c r="Q14" i="1"/>
  <c r="M14" i="1"/>
  <c r="N14" i="1" s="1"/>
  <c r="L14" i="1"/>
  <c r="AI13" i="1"/>
  <c r="AK13" i="1" s="1"/>
  <c r="AJ13" i="1" s="1"/>
  <c r="AA13" i="1"/>
  <c r="Z13" i="1"/>
  <c r="W13" i="1"/>
  <c r="R13" i="1"/>
  <c r="S13" i="1" s="1"/>
  <c r="Q13" i="1"/>
  <c r="M13" i="1"/>
  <c r="N13" i="1" s="1"/>
  <c r="L13" i="1"/>
  <c r="AK12" i="1"/>
  <c r="AJ12" i="1"/>
  <c r="AA12" i="1"/>
  <c r="Z12" i="1"/>
  <c r="W12" i="1"/>
  <c r="R12" i="1"/>
  <c r="S12" i="1" s="1"/>
  <c r="Q12" i="1"/>
  <c r="M12" i="1"/>
  <c r="N12" i="1" s="1"/>
  <c r="L12" i="1"/>
  <c r="AK11" i="1"/>
  <c r="AJ11" i="1"/>
  <c r="AA11" i="1"/>
  <c r="Z11" i="1"/>
  <c r="W11" i="1"/>
  <c r="R11" i="1"/>
  <c r="S11" i="1" s="1"/>
  <c r="Q11" i="1"/>
  <c r="M11" i="1"/>
  <c r="N11" i="1" s="1"/>
  <c r="L11" i="1"/>
  <c r="AI10" i="1"/>
  <c r="AK10" i="1" s="1"/>
  <c r="AJ10" i="1" s="1"/>
  <c r="AA10" i="1"/>
  <c r="Z10" i="1"/>
  <c r="W10" i="1"/>
  <c r="R10" i="1"/>
  <c r="S10" i="1" s="1"/>
  <c r="Q10" i="1"/>
  <c r="M10" i="1"/>
  <c r="N10" i="1" s="1"/>
  <c r="L10" i="1"/>
  <c r="AI9" i="1"/>
  <c r="AK9" i="1" s="1"/>
  <c r="AJ9" i="1" s="1"/>
  <c r="AA9" i="1"/>
  <c r="Z9" i="1"/>
  <c r="V9" i="1"/>
  <c r="W9" i="1" s="1"/>
  <c r="R9" i="1"/>
  <c r="S9" i="1" s="1"/>
  <c r="Q9" i="1"/>
  <c r="M9" i="1"/>
  <c r="N9" i="1" s="1"/>
  <c r="L9" i="1"/>
  <c r="AI8" i="1"/>
  <c r="AK8" i="1" s="1"/>
  <c r="AJ8" i="1" s="1"/>
  <c r="AA8" i="1"/>
  <c r="Z8" i="1"/>
  <c r="W8" i="1"/>
  <c r="R8" i="1"/>
  <c r="S8" i="1" s="1"/>
  <c r="Q8" i="1"/>
  <c r="M8" i="1"/>
  <c r="N8" i="1" s="1"/>
  <c r="L8" i="1"/>
  <c r="AI7" i="1"/>
  <c r="AK7" i="1" s="1"/>
  <c r="AJ7" i="1" s="1"/>
  <c r="AA7" i="1"/>
  <c r="Z7" i="1"/>
  <c r="W7" i="1"/>
  <c r="R7" i="1"/>
  <c r="S7" i="1" s="1"/>
  <c r="Q7" i="1"/>
  <c r="M7" i="1"/>
  <c r="N7" i="1" s="1"/>
  <c r="L7" i="1"/>
  <c r="AI6" i="1"/>
  <c r="AK6" i="1" s="1"/>
  <c r="AJ6" i="1" s="1"/>
  <c r="AA6" i="1"/>
  <c r="Z6" i="1"/>
  <c r="W6" i="1"/>
  <c r="R6" i="1"/>
  <c r="S6" i="1" s="1"/>
  <c r="Q6" i="1"/>
  <c r="M6" i="1"/>
  <c r="N6" i="1" s="1"/>
  <c r="L6" i="1"/>
  <c r="AI5" i="1"/>
  <c r="AK5" i="1" s="1"/>
  <c r="AJ5" i="1" s="1"/>
  <c r="AA5" i="1"/>
  <c r="Z5" i="1"/>
  <c r="W5" i="1"/>
  <c r="R5" i="1"/>
  <c r="S5" i="1" s="1"/>
  <c r="Q5" i="1"/>
  <c r="M5" i="1"/>
  <c r="N5" i="1" s="1"/>
  <c r="L5" i="1"/>
  <c r="AI4" i="1"/>
  <c r="AK4" i="1" s="1"/>
  <c r="AJ4" i="1" s="1"/>
  <c r="AA4" i="1"/>
  <c r="Z4" i="1"/>
  <c r="Z117" i="1" s="1"/>
  <c r="W4" i="1"/>
  <c r="R4" i="1"/>
  <c r="S4" i="1" s="1"/>
  <c r="Q4" i="1"/>
  <c r="M4" i="1"/>
  <c r="N4" i="1" s="1"/>
  <c r="L4" i="1"/>
  <c r="Y117" i="1" l="1"/>
  <c r="AA7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28" authorId="0" shapeId="0" xr:uid="{00000000-0006-0000-0000-000001000000}">
      <text>
        <r>
          <rPr>
            <sz val="11"/>
            <color rgb="FF000000"/>
            <rFont val="Calibri"/>
            <family val="2"/>
            <charset val="1"/>
          </rPr>
          <t xml:space="preserve">Usuário:
</t>
        </r>
        <r>
          <rPr>
            <sz val="9"/>
            <color rgb="FF000000"/>
            <rFont val="Segoe UI"/>
            <family val="2"/>
            <charset val="1"/>
          </rPr>
          <t>Aditivo de prazo não está assinado pela PMF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00" authorId="0" shapeId="0" xr:uid="{00000000-0006-0000-0400-000001000000}">
      <text>
        <r>
          <rPr>
            <sz val="11"/>
            <color rgb="FF000000"/>
            <rFont val="Calibri"/>
            <family val="2"/>
            <charset val="1"/>
          </rPr>
          <t xml:space="preserve">Usuário:
</t>
        </r>
        <r>
          <rPr>
            <sz val="9"/>
            <color rgb="FF000000"/>
            <rFont val="Segoe UI"/>
            <family val="2"/>
            <charset val="1"/>
          </rPr>
          <t>Aditivo de prazo não está assinado pela PMF</t>
        </r>
      </text>
    </comment>
  </commentList>
</comments>
</file>

<file path=xl/sharedStrings.xml><?xml version="1.0" encoding="utf-8"?>
<sst xmlns="http://schemas.openxmlformats.org/spreadsheetml/2006/main" count="2676" uniqueCount="842">
  <si>
    <t>CONTROLE CONTRATUAL – SMTI</t>
  </si>
  <si>
    <t>INFORMAÇÕES CONTRATUAIS</t>
  </si>
  <si>
    <t>VIGÊNCIA DO CONTRATO</t>
  </si>
  <si>
    <t>EXECUÇÃO CONTRATUAL</t>
  </si>
  <si>
    <t xml:space="preserve">RECURSO </t>
  </si>
  <si>
    <t>SALDO CONTRATUAL</t>
  </si>
  <si>
    <t>FISCALIZAÇÃO CONTRATUAL</t>
  </si>
  <si>
    <t>STATUS</t>
  </si>
  <si>
    <t>GESTÃO</t>
  </si>
  <si>
    <t>FORNECEDOR</t>
  </si>
  <si>
    <t>CONTRATOS</t>
  </si>
  <si>
    <t>OBJETO</t>
  </si>
  <si>
    <t>METRAGEM</t>
  </si>
  <si>
    <t>SERVIÇO
CONTÍNUO</t>
  </si>
  <si>
    <t>REGIÃO</t>
  </si>
  <si>
    <t>BAIRRO</t>
  </si>
  <si>
    <t>ASSINATURA
DO CONTRATO</t>
  </si>
  <si>
    <t>VIGÊNCIA
INICIAL</t>
  </si>
  <si>
    <t>QTD.
EM DIAS</t>
  </si>
  <si>
    <t xml:space="preserve"> PRAZO PARA
RENOVAÇÃO (DIAS)</t>
  </si>
  <si>
    <t>CONTROLE
VIGÊNCIA</t>
  </si>
  <si>
    <t>VIGÊNCIA
FINAL</t>
  </si>
  <si>
    <t>EXECUÇÃO
INICIAL</t>
  </si>
  <si>
    <t>PRAZO DE
EXECUÇÃO (DIAS)</t>
  </si>
  <si>
    <t>CONTROLE
EXECUÇÃO</t>
  </si>
  <si>
    <t>EXECUÇÃO
FINAL</t>
  </si>
  <si>
    <t>INÍCIO DA
PARALISAÇÃO</t>
  </si>
  <si>
    <t>FIM DA
PARALISAÇÃO</t>
  </si>
  <si>
    <t>TOTAL DE
DIAS PARADOS</t>
  </si>
  <si>
    <t>FONTE
DE RECURSO</t>
  </si>
  <si>
    <t>VALOR
DO CONTRATO</t>
  </si>
  <si>
    <t>SALDO
ATUAL</t>
  </si>
  <si>
    <t>% SALDO
CONSUMIDO</t>
  </si>
  <si>
    <t>FISCAL 01</t>
  </si>
  <si>
    <t>FISCAL 02</t>
  </si>
  <si>
    <t>FISCAL 03</t>
  </si>
  <si>
    <t>FISCAL 04</t>
  </si>
  <si>
    <t>AD</t>
  </si>
  <si>
    <t>AP</t>
  </si>
  <si>
    <t>ASSINATURA
CONTRATO/ADITIVO</t>
  </si>
  <si>
    <t>PRAZO MÁX. DE 
RENOVAÇÃO (ANO)</t>
  </si>
  <si>
    <t>PRAZO MÁX. 
DE RENOVAÇÃO</t>
  </si>
  <si>
    <t>PROCESSO
INTERNO</t>
  </si>
  <si>
    <t>RESPONSÁVEL</t>
  </si>
  <si>
    <t>OBSERVAÇÃO</t>
  </si>
  <si>
    <t>Superintendência de Engenharia de Obras</t>
  </si>
  <si>
    <t>PAVICON CONSTRUÇÕES LTDA</t>
  </si>
  <si>
    <t>783/SMI/2021</t>
  </si>
  <si>
    <t>Revitalização do Centro Leste – Florianópolis/SC aprox 1.237km</t>
  </si>
  <si>
    <t>-</t>
  </si>
  <si>
    <t>Centro</t>
  </si>
  <si>
    <t>6404
(FINISA 4)</t>
  </si>
  <si>
    <t>Paulo Cesar Carvalho Machado de Souza</t>
  </si>
  <si>
    <t>Tiago José Schimitt</t>
  </si>
  <si>
    <t>ADITIVO - PARECER JURÍDICO</t>
  </si>
  <si>
    <t>2493/2023</t>
  </si>
  <si>
    <t>Chestton Malta</t>
  </si>
  <si>
    <t>Processo interno nº 1002/23 Aditivo de valor encaminhado ao jurídico em XX/09 (R$ 749.481,75)(Colhendo assinatura)</t>
  </si>
  <si>
    <t>0696/SMI/2022</t>
  </si>
  <si>
    <t>Revitalização da Rodovia Rozalia Paulina Ferreira – Seguimento entre Estrada Francisco Thomas dos Santos até Estrada João Belarmino da Silva – Florianópolis/SC. Aprox 3.140km</t>
  </si>
  <si>
    <t>Sul</t>
  </si>
  <si>
    <t>Pântano do Sul</t>
  </si>
  <si>
    <t>Ricardo Molina Campos</t>
  </si>
  <si>
    <t>Erick Roberto de Jesus Martins</t>
  </si>
  <si>
    <t>ADITIVO - SULIC</t>
  </si>
  <si>
    <t>2440/2023
2837/2023</t>
  </si>
  <si>
    <t>Paulo César Vieira</t>
  </si>
  <si>
    <t>Processo nº 2440/2023 - solicitação de Aditivo de Valor quantitativo e qualitativo R$(+134.958,72) –  encaminhado a Sulic em 02/05.</t>
  </si>
  <si>
    <t>EDITORA NOTÍCIAS DO DIA LTDA</t>
  </si>
  <si>
    <t>0974/SMI/2018</t>
  </si>
  <si>
    <t>Prestação de serviços na publicação de matérias de caráter oficial e legal tais como editais de licitação e outros informativos.</t>
  </si>
  <si>
    <t>N/A</t>
  </si>
  <si>
    <t>Sandro Bremer</t>
  </si>
  <si>
    <t>MEDIÇÕES</t>
  </si>
  <si>
    <t>008268/2021</t>
  </si>
  <si>
    <t>AMVT CONSTRUÇÕES LTDA – EPP</t>
  </si>
  <si>
    <t>0220/SMI/2022</t>
  </si>
  <si>
    <t>Empresa especializada para execução de pavimentação e drenagem da Rodvia Rafael da Rocha Pires – Sambaqui – Florianópolis/sc aprox 1.450 mts</t>
  </si>
  <si>
    <t>Norte</t>
  </si>
  <si>
    <t>Sambaqui</t>
  </si>
  <si>
    <t>FINALIZADO</t>
  </si>
  <si>
    <t>BRITAGEM VOGELSANGER LTDA</t>
  </si>
  <si>
    <t>0278/SMI/2022</t>
  </si>
  <si>
    <t>Execução da revitalização da SC - 406 (Rua Vereador Osni Ortiga - Elevado Rio Tavares) - Lagoa da Conceição - Florianópolis/SC.aprox 4,5 km</t>
  </si>
  <si>
    <t>Rio Tavares</t>
  </si>
  <si>
    <t>420
030
4021</t>
  </si>
  <si>
    <t>ADITIVO - CG</t>
  </si>
  <si>
    <t xml:space="preserve"> 3413/23   - </t>
  </si>
  <si>
    <t xml:space="preserve"> Processo interno 2 nº 3413/23 Prazo encaminhado ao comitê em XX/09 (Vigência 150 / Execução 90)(Colhendo assinatura) </t>
  </si>
  <si>
    <t>CONSTRUMIX - CONSTRUÇÕES E ENGENHARIA LTDA</t>
  </si>
  <si>
    <t>1127/SMI/2019</t>
  </si>
  <si>
    <t>Execução do projeto da ciclovia e passeio na Avenida Jorge Lacerda - Costeira do Pirajubaé - Florianópolis/SC</t>
  </si>
  <si>
    <t>Costeira</t>
  </si>
  <si>
    <t>402
(FINISA II)</t>
  </si>
  <si>
    <t>PARALISADO</t>
  </si>
  <si>
    <t>4662/2021</t>
  </si>
  <si>
    <t xml:space="preserve">Obra paralisada em 25/06/2021 - pedido de reequílibrio econômico negado pelo gg. A empresa entrou na justiça para cobrar o reequilibrio,  (processo I 4662/21)-SETOR JURÍDICO OPINOU PELA ABERTURA DE PROCESSO DE APLICAÇÃO DE SANSÃO E RESCISÃO UNILATERAL. ENCAMINHADO OE 162 SMI GAB CONTRATOS 2021 PARA TRANSPARÊNCIA EM 15/09. </t>
  </si>
  <si>
    <t>EMPREITEIRA ARRUDA LTDA - EPP</t>
  </si>
  <si>
    <t>1241/SMI/2020</t>
  </si>
  <si>
    <t>Execução das obras da Rua da Praia - Orla Tapera - 1ª etapa</t>
  </si>
  <si>
    <t>Tapera</t>
  </si>
  <si>
    <t>21
80</t>
  </si>
  <si>
    <t>Jeam Carlos Grimm</t>
  </si>
  <si>
    <t>Marcos Paulo Pereira</t>
  </si>
  <si>
    <r>
      <rPr>
        <sz val="8"/>
        <color rgb="FF000000"/>
        <rFont val="Calibri"/>
        <family val="2"/>
        <charset val="1"/>
      </rPr>
      <t xml:space="preserve">08/05/2023 - Reajuste (R$ 122.964,08) encaminhado para Sulic Processo 594/23. Contrato em fase de liquidação. A princípio sem autorização da sulic.                                                           </t>
    </r>
    <r>
      <rPr>
        <b/>
        <sz val="8"/>
        <color rgb="FF000000"/>
        <rFont val="Calibri"/>
        <family val="2"/>
        <charset val="1"/>
      </rPr>
      <t>11/09/2023 - Termo de Recebimento Definitivo de Obra.             Solicitado peazo enviado ao GG em 13/09</t>
    </r>
  </si>
  <si>
    <t>SETEP CONSTRUÇÕES LTDA</t>
  </si>
  <si>
    <t>1164/SMI/2019</t>
  </si>
  <si>
    <t>Execução de restauração do pavimento e qualificação da Avenida Luiz Boiteux Piazza - Canasvieiras - Florianópolis/SC aprox 6.0 km</t>
  </si>
  <si>
    <t>Canasvieiras</t>
  </si>
  <si>
    <t xml:space="preserve">DTA ENGENHARIA LTDA UNIPESSOAL </t>
  </si>
  <si>
    <t>999/SMI/2022</t>
  </si>
  <si>
    <t xml:space="preserve">Contratação de empresa especializada para execução da alimentação artificial da Praia dos Ingleses – Florianópolis/SC </t>
  </si>
  <si>
    <t>Ingleses</t>
  </si>
  <si>
    <t>1139/22</t>
  </si>
  <si>
    <t>PROSUL PROJETOS, SUPERVISÃO E PLANEJAMENTO LTDA</t>
  </si>
  <si>
    <t>993/SMI/2021</t>
  </si>
  <si>
    <t>Serviços técnicos especializados de projeto executivo de engenharia e licenciamento ambiental - Beira Mar Continental</t>
  </si>
  <si>
    <t>Continente</t>
  </si>
  <si>
    <t>Estreito</t>
  </si>
  <si>
    <t xml:space="preserve">Carlos Alberto Simoni Ferrari </t>
  </si>
  <si>
    <t>Marco Antônio Medeiros Júnior</t>
  </si>
  <si>
    <t>SATÉLITE CONSTRUÇÕES E ENGENHARIA EIRELI-EPP</t>
  </si>
  <si>
    <t>0833/SMI/2022</t>
  </si>
  <si>
    <t>Revitalização do Parque de Coqueiros - Florianópolis/SC</t>
  </si>
  <si>
    <t>Coqueiros</t>
  </si>
  <si>
    <t>R$ 4.264.725,74</t>
  </si>
  <si>
    <t>Izabel Cristina de Jesus</t>
  </si>
  <si>
    <t>Ana Cristina Mendes da Cunha Costalunga</t>
  </si>
  <si>
    <t>Fernando Oliveira</t>
  </si>
  <si>
    <t>Laura Vasconcelos Bertoldi</t>
  </si>
  <si>
    <t>1795/23</t>
  </si>
  <si>
    <r>
      <rPr>
        <sz val="8"/>
        <color rgb="FF000000"/>
        <rFont val="Calibri"/>
        <family val="2"/>
        <charset val="1"/>
      </rPr>
      <t xml:space="preserve">Processo interno nº 7165/23 Aditivo de valor encaminhado ao comitê em 05/09 (R$ 1.065.539,40) </t>
    </r>
    <r>
      <rPr>
        <sz val="8"/>
        <color rgb="FF000000"/>
        <rFont val="Calibri"/>
        <family val="2"/>
      </rPr>
      <t>(Aguardando autorização prévia da Comissão de Obras)</t>
    </r>
  </si>
  <si>
    <t xml:space="preserve">CEJEN ENGENHARIA LTDA </t>
  </si>
  <si>
    <t>0823/SMI/2022</t>
  </si>
  <si>
    <t>NOVA PONTE DA LAGOA DA CONCEIÇÃO E REVITALIZAÇÃO EM SEU ENTORNO aprox 850mts</t>
  </si>
  <si>
    <t>Leste</t>
  </si>
  <si>
    <t>Lagoa da Conceição</t>
  </si>
  <si>
    <t>Ricardo Junckes</t>
  </si>
  <si>
    <t>3563/23</t>
  </si>
  <si>
    <t>0742/SMI/2022</t>
  </si>
  <si>
    <t>Pavimentação e Drenagem da Servidão Francisca Marques Silva aprox 1.0km</t>
  </si>
  <si>
    <t>Rio Vermelho</t>
  </si>
  <si>
    <t xml:space="preserve">Amarildo Osvaldo Forte </t>
  </si>
  <si>
    <t>PROSUL PROJETOS, SUPERVISÃO, PLANEJAMENTO E LTDA.
SOTEPA SOCIEDADE TÉCNICA DE ESTUDO, PROJETOS E ASSESSORIA LTDA.</t>
  </si>
  <si>
    <t>0692/SMI/2022</t>
  </si>
  <si>
    <r>
      <rPr>
        <sz val="8"/>
        <color rgb="FF000000"/>
        <rFont val="Calibri"/>
        <family val="2"/>
        <charset val="1"/>
      </rPr>
      <t xml:space="preserve">Consultoria para execução de serviços técnicos especializados de Projeto Executivo de Engenharia e de Licenciamento Ambiental do </t>
    </r>
    <r>
      <rPr>
        <b/>
        <u/>
        <sz val="8"/>
        <color rgb="FF000000"/>
        <rFont val="Calibri"/>
        <family val="2"/>
        <charset val="1"/>
      </rPr>
      <t>Túnel do Morro da Lagoa da Conceição</t>
    </r>
  </si>
  <si>
    <t>SIM</t>
  </si>
  <si>
    <t>080
405</t>
  </si>
  <si>
    <r>
      <rPr>
        <b/>
        <sz val="8"/>
        <rFont val="Calibri"/>
        <family val="2"/>
        <charset val="1"/>
      </rPr>
      <t>ORDEM DE PARALISAÇÃO AO CONTRATO Nº 692/SMI/2022</t>
    </r>
    <r>
      <rPr>
        <sz val="8"/>
        <rFont val="Calibri"/>
        <family val="2"/>
        <charset val="1"/>
      </rPr>
      <t>– Em virtude de problemas relacionados ao aspecto financeiro, sobretudo da estimativa levantada do custo da obra conforme seção adotada que pode partir de R$ 400 Milhões a R$ 672 Milhões de reais, determinamos a paralisação da execução dos serviços da contratação de empresa de consultoria para execução de serviços técnicos especializados de Projeto Executivo de Engenharia e de Licenciamento Ambiental do Túnel do Morro da Lagoa da Conceição.</t>
    </r>
  </si>
  <si>
    <t xml:space="preserve"> EMPREITEIRA ARRUDA LTDA - EPP</t>
  </si>
  <si>
    <t>0678/SMI/2022</t>
  </si>
  <si>
    <t>Pavimentação e Drenagem das Ruas Tulipas vermelhas e Servidão das Gérberas - Rio Vermelho. Aprox 2.032 mts</t>
  </si>
  <si>
    <t>5.500 / 6.403  7.420</t>
  </si>
  <si>
    <t>Isabela de Paulo</t>
  </si>
  <si>
    <t xml:space="preserve"> 3267/23</t>
  </si>
  <si>
    <t xml:space="preserve">Processo interno nº 3267/23 Prazo encaminhado a Sulic em 14/08 (6 Meses) </t>
  </si>
  <si>
    <t>PENASCAL ENGENHARIA LTDA</t>
  </si>
  <si>
    <t>0675/SMI/2022</t>
  </si>
  <si>
    <t>MACRODRENAGEM da Rua Cândido Pereira dos Anjos (Travessão) e de 06 (seis) Servidões adjacentes – Bairro Rio Vermelho – Florianópolis/Scaprox 2.400mts</t>
  </si>
  <si>
    <t>5500
6405
5708</t>
  </si>
  <si>
    <t>0502/SMI/2022</t>
  </si>
  <si>
    <t>Contenção contra o avanço do mar sobre a orla da praia do canto do Morro das Pedras – Florianópolis/SC.</t>
  </si>
  <si>
    <t>Morro das Pedras</t>
  </si>
  <si>
    <t xml:space="preserve">5500
6405
             5708               6404 </t>
  </si>
  <si>
    <t>4711/2023</t>
  </si>
  <si>
    <t xml:space="preserve">Processo interno nº 1866/23 – Aditivo de valor encaminhado ao jurídico em 12/09 (R$ 125.483,93) </t>
  </si>
  <si>
    <t>STC - SERVIÇOS DE TERRAPLANAGEM E CONSTRUÇÃO LTDA</t>
  </si>
  <si>
    <t>0501/SMI/2022</t>
  </si>
  <si>
    <t>Restauração da Rua Mario lacombe - Canasvieiras _ Florianópolis. Aprox 750 mts</t>
  </si>
  <si>
    <t>5500
6405
5708
6404</t>
  </si>
  <si>
    <t>Ivan Luiz Ceola Schneider</t>
  </si>
  <si>
    <t>Sidnei Valter da Silva</t>
  </si>
  <si>
    <t xml:space="preserve">                                                                                                                                                                           Processo interno nº 2 – 1865/23 – Prazo encaminhado a Sulic em 14/08 (90 Dias) </t>
  </si>
  <si>
    <t>CONSTRUTORA NEVES &amp; GOULART LTDA-ME</t>
  </si>
  <si>
    <t>0496/SMI/2022</t>
  </si>
  <si>
    <t>Restauração do Trapiche da Praia da Saudade - Florianópolis SC</t>
  </si>
  <si>
    <t>30
404</t>
  </si>
  <si>
    <t xml:space="preserve">Rafael Hahne </t>
  </si>
  <si>
    <t>NOVA LICITAÇÃO</t>
  </si>
  <si>
    <t>1139/2023</t>
  </si>
  <si>
    <r>
      <rPr>
        <sz val="8"/>
        <color rgb="FF000000"/>
        <rFont val="Calibri"/>
        <family val="2"/>
        <charset val="1"/>
      </rPr>
      <t xml:space="preserve">           Rescindido </t>
    </r>
    <r>
      <rPr>
        <b/>
        <sz val="8"/>
        <color rgb="FF000000"/>
        <rFont val="Calibri"/>
        <family val="2"/>
        <charset val="1"/>
      </rPr>
      <t>Amigávelmente</t>
    </r>
    <r>
      <rPr>
        <sz val="8"/>
        <color rgb="FF000000"/>
        <rFont val="Calibri"/>
        <family val="2"/>
        <charset val="1"/>
      </rPr>
      <t xml:space="preserve"> em 22/08/2023 - Chamamento da 2º colocada</t>
    </r>
  </si>
  <si>
    <t>418/SMI/2022</t>
  </si>
  <si>
    <t>Execução da revitalização do passeio público da Avenida Paulo Fontes, entre o TICEN - Terminal Integrado do Centro e Largo da Alfandega - Florianópolis/SC. Aprox 400mts</t>
  </si>
  <si>
    <t>402
403</t>
  </si>
  <si>
    <t>3281/23</t>
  </si>
  <si>
    <t>0364/SMI/2022</t>
  </si>
  <si>
    <t>Execução de Muros de Contenção, Desmonte de Rocha e Obras Complementares</t>
  </si>
  <si>
    <t>Rodrigo Batschauer</t>
  </si>
  <si>
    <t>Alexandre Simone</t>
  </si>
  <si>
    <t>1826/2023</t>
  </si>
  <si>
    <t>PLANATERRA</t>
  </si>
  <si>
    <t>0338/SMI/2022</t>
  </si>
  <si>
    <t>DUPLICAÇÃO da Rua Deputado Antônio Edu Vieira – Segmento entre Rua João Pio Duarte Silva e Avenida César Seara - Florianópolis Aprox 1.370mts</t>
  </si>
  <si>
    <t>Pantanal</t>
  </si>
  <si>
    <t>30
420</t>
  </si>
  <si>
    <t xml:space="preserve">3450/2023 -  577/23 - 6595/23  </t>
  </si>
  <si>
    <t xml:space="preserve">Processo interno 1 nº 6595/23 Readequação encaminhada ao comitê em XX/09 ( - R$ 815.657,70)(Colhendo assinatura)                                                                                                                                Processo interno 2 º 4903/23 – Prazo encaminhado a Sulic em 11/09 (60 Dias) </t>
  </si>
  <si>
    <t>0282/SMI/2022</t>
  </si>
  <si>
    <t>Revitalização da SC - 403 - Rodovia Armando Calil Bulos - Ingleses - Florianópolis/SC.aprox 3.800mts</t>
  </si>
  <si>
    <t>030
420</t>
  </si>
  <si>
    <t>1161/2022</t>
  </si>
  <si>
    <r>
      <rPr>
        <sz val="8"/>
        <color rgb="FF000000"/>
        <rFont val="Calibri"/>
        <family val="2"/>
        <charset val="1"/>
      </rPr>
      <t xml:space="preserve">Processo interno nº 1 – 1161/2022 – Reajuste encaminhado ao comitê em 05/09 (R$ 418.586,29) </t>
    </r>
    <r>
      <rPr>
        <sz val="8"/>
        <color rgb="FF000000"/>
        <rFont val="Calibri"/>
        <family val="2"/>
      </rPr>
      <t>(Aguardando autorização prévia da Comissão de Obras)</t>
    </r>
  </si>
  <si>
    <t>MLA CONSTRUÇÕES LTDA - EPP</t>
  </si>
  <si>
    <t>0276/SMI/2022</t>
  </si>
  <si>
    <t>execução do projeto de ligação entre a Rodovia Virgílio Várzea e Rua do Lamin (Rua das Goiabas) e Implantação de Ponte - Florianópolis/SC  Aprox 1.060 mts</t>
  </si>
  <si>
    <t>404
420</t>
  </si>
  <si>
    <t>2235/2023</t>
  </si>
  <si>
    <t>0273/SMI/2022</t>
  </si>
  <si>
    <t>Revitalização das Praias do Riso, Saudade e do Meio - Coqueiros - Florianópolis/SC.</t>
  </si>
  <si>
    <t>6405 / 5701 / 6404</t>
  </si>
  <si>
    <t xml:space="preserve">1823/2023  - 3317/23     </t>
  </si>
  <si>
    <t xml:space="preserve"> Processo interno 2 nº 7582/23 – Readequação encaminhada ao jurídico em XX/09 (- R$ 2.260,43) (Colhendo assinatura)                   </t>
  </si>
  <si>
    <t xml:space="preserve"> 771/SMI/2021</t>
  </si>
  <si>
    <t>Execução de serviços técnicos especializados de apoio e assessoramento técnico á PMF na elaboração de estudos  e projetos e na supervisão de obras.</t>
  </si>
  <si>
    <t>402
80
60</t>
  </si>
  <si>
    <t>2713/2023</t>
  </si>
  <si>
    <t xml:space="preserve">Processo interno 1 nº 7277/23 – Renovação encaminhada ao fiscal em XX/XX (R$ 12.381.296,54) (Necessário readequar)                                                                                                                                  Processo interno 2 nº 2713/23 – Reajuste encaminhado a Sulic em 29/08 (R$ 1.216.039,55) </t>
  </si>
  <si>
    <t>0824/SMI/2022</t>
  </si>
  <si>
    <t>Execução de passeios de concreto (Lote 2) na Rodovia Baldicero Filomeno - Alto Ribeirão da Ilha.</t>
  </si>
  <si>
    <t>Ribeirão da Ilha</t>
  </si>
  <si>
    <t>13/10/2022 - Ordem de Serviço aguardar orientações do Prefeito/secretario. Segundo informações aguardar licitação da rua.
01/03/2023 - Obra paralisada, por solicitação do fiscal.</t>
  </si>
  <si>
    <t>GENTE  SEGURADORA</t>
  </si>
  <si>
    <t>0818/SMI/2022</t>
  </si>
  <si>
    <t>PRESTAÇÃO DE SERVIÇO CONTINUADO DE SEGURO DOS VEÍCULOS, MÁQUINAS E EQUIPAMENTOS DA SMI</t>
  </si>
  <si>
    <t>R$ 42.952,50</t>
  </si>
  <si>
    <t>DJP CONSTRUÇÕES LTDA - EPP</t>
  </si>
  <si>
    <t>0978/SMI/2022</t>
  </si>
  <si>
    <t>Execução da recuperação da Avenida Jacarandá – Daniela – Florianópolis/SC. Aprox 1.815 mts</t>
  </si>
  <si>
    <t>Daniela</t>
  </si>
  <si>
    <t>ADITIVO - SPO</t>
  </si>
  <si>
    <t>2139/2023</t>
  </si>
  <si>
    <t>Processo interno nº 5104/23 – Aditivo de valor encaminhado ao jurídico em 05/09 (R$ 129.045,33)</t>
  </si>
  <si>
    <t>MOSAICO PROJETOS E CONSTRUÇÕES LTDA - ME</t>
  </si>
  <si>
    <t>0914/SMI/2022</t>
  </si>
  <si>
    <t>Fabricação e instalação de abrigos de passageiros de ônibus  na região norte (lote 02) e região sul (lote 03)</t>
  </si>
  <si>
    <t>Thiago da Silva Martinni</t>
  </si>
  <si>
    <t>Renato César de Oliveira</t>
  </si>
  <si>
    <t>3744/2023</t>
  </si>
  <si>
    <t>Solicitação de prazo PI 3744/2023 ao jurídico em 13/09</t>
  </si>
  <si>
    <t>1055/SMI/2022</t>
  </si>
  <si>
    <t>PAVIMENTAÇÃO E DRENAGEM DAS SERVIDÕES: JOSÉ DOMINGOS RAMOS - INGLESES aprox 0.400 mts</t>
  </si>
  <si>
    <t>R$ 1.747.420,60</t>
  </si>
  <si>
    <t>Paulo César Carvalho Machado de Souza</t>
  </si>
  <si>
    <t>4713/22</t>
  </si>
  <si>
    <t>Processo interno nº 4713/22 – Readequação encaminhada ao jurídico em 13/09 (R$ 59.626,09)</t>
  </si>
  <si>
    <t>33-A</t>
  </si>
  <si>
    <t>PAVIMENTAÇÃO E DRENAGEM DAS SERVIDÕES: SERVIDÃO IRENO TEÓFILO DOS SANTOS - INGLESES .300mts</t>
  </si>
  <si>
    <t>33-B</t>
  </si>
  <si>
    <t>PAVIMENTAÇÃO E DRENAGEM DAS SERVIDÕES: JOSÉ ERNESTO LUCAS – INGLESES aprox 0.200 mts</t>
  </si>
  <si>
    <t>FLORIPAINÉIS</t>
  </si>
  <si>
    <t>0913/SMI/2022</t>
  </si>
  <si>
    <t>Fabricação e instalação de abrigos de passageiros de ônibus  no Continente, Centro e Leste. (lote 01)</t>
  </si>
  <si>
    <t>2908/23</t>
  </si>
  <si>
    <t>0899/SMI/2022</t>
  </si>
  <si>
    <t>Execução de passeios de concreto (Lote 2) na Rua Manoel Leôncio de Souza  Brito</t>
  </si>
  <si>
    <t>Ratones</t>
  </si>
  <si>
    <t>À definir</t>
  </si>
  <si>
    <t>08/02/2023  - Ordem de Serviço aguardar orientações do Prefeito/secretario. Segundo informações aguardar licitação da rua.
01/03/2023 - Obra paralisada, por solicitação do fiscal.</t>
  </si>
  <si>
    <t>1062/SMI/2022</t>
  </si>
  <si>
    <t>Execução da pavimentação da Estrada Francisco Thomas dos Santos - Açores - Florianópolis/Sc aprox .595 mts</t>
  </si>
  <si>
    <t>Açores</t>
  </si>
  <si>
    <t>Processo interno 1 nº 5100/23 – Aditivo de valor encaminhado ao comitê em XX/09 (82.862,16)(Colhendo assinatura)</t>
  </si>
  <si>
    <t>LITORAL ENGENHARIA E CONSTRUÇÕES EIRELI - EPP</t>
  </si>
  <si>
    <t>1138/SMI/2022</t>
  </si>
  <si>
    <t>Contratação de empresa especializada para execução da revitalização da praça Governador  José  Boabaid - Coqueiros - Florianópolis SC</t>
  </si>
  <si>
    <t xml:space="preserve">Laura Vasconcelos Bertoldi </t>
  </si>
  <si>
    <t>Fernando de Oliveira</t>
  </si>
  <si>
    <t>5262/2022</t>
  </si>
  <si>
    <t>HEFER CONSTRUÇÕES CIVIL LTDA – EPP</t>
  </si>
  <si>
    <t>1146/SMI/2022</t>
  </si>
  <si>
    <t>Contratação de empresa especializada para execução da urbanização da praça e construção do complexo Skate Park- Abraão – Florianópolis/SC</t>
  </si>
  <si>
    <t>Abraão</t>
  </si>
  <si>
    <t>3324/23</t>
  </si>
  <si>
    <t>1210/SMI/2022</t>
  </si>
  <si>
    <t>Pavimentação da Rua laurindo Elias de Oliveira - Ingleses do Rio Vermelho aprox .0800 mts</t>
  </si>
  <si>
    <t>Processo Interno 1 nº 8781/23 – Aditivo de valor encaminhado ao jurídico em 13/09 (R$ 114.546,90)                                                                                                                                                                        Processo Interno 2 nº 6309/22 – Prorrogação da vigência encaminhada ao comitê em 11/09 (150 Dias)</t>
  </si>
  <si>
    <t>1211/SMI/2022</t>
  </si>
  <si>
    <t>Projeto de Revitalização do Pavimento: Servidão Elton josé Sagaz, Servidão Valdevino Marques da Natividade, Servidão Luísa Giardini Moratellu, Servidão Abelardo Paulo da Silva - Ingleses aprox 910 mts.</t>
  </si>
  <si>
    <t>1217/SMI/2022</t>
  </si>
  <si>
    <t>Contratação de empresa especializada para execução da pavimentação da Servidão Martinho Manoel da Silveira – Rio Vermelho - Florianópolis/sc aprox 700mts</t>
  </si>
  <si>
    <t>4479/23</t>
  </si>
  <si>
    <t xml:space="preserve">PAVICON CONSTRUÇÕES LTDA </t>
  </si>
  <si>
    <t>1219/SMI/2022</t>
  </si>
  <si>
    <t>Contratação de empresa especializada para execução de pavimentação e drenagem da Servidão Euclides Manoel Ferreira (rio vermelho), .500mts</t>
  </si>
  <si>
    <t xml:space="preserve">5075/22 </t>
  </si>
  <si>
    <t>Rua Canudos (ingleses) e Servidão Luiz Flor Francisco (ingleses do rio vermelho) – Florianópolis/ SC aprox .600mts</t>
  </si>
  <si>
    <t>1220/SMI/2022</t>
  </si>
  <si>
    <t>Contratação de empresa especializada para revitalização da Rua Deputado Antônio Edu Vieira  - Trecho Avenida César Seara – Avenida Prefeito Waldemar Vieira e Rua Francisco O´CAMPO Moré, conforme Lote 1 – Serviços na Faixa de Rolamento.  Aprox 1.010 mts</t>
  </si>
  <si>
    <t>3452/23</t>
  </si>
  <si>
    <t>RED ENERGY COMÉRCIO E SERVIÇOS LTDA-EPP</t>
  </si>
  <si>
    <t>007/SMTI/2023</t>
  </si>
  <si>
    <t>Execução da Iluminação pública da Via Expressa Sul</t>
  </si>
  <si>
    <t>4784/22</t>
  </si>
  <si>
    <t>RUHMO INFRAESTRUTURA LTDA - EPP</t>
  </si>
  <si>
    <t>018/SMTI/2023</t>
  </si>
  <si>
    <t>Pavimentação e drenagem da Servidão Emilia Custódio  - Rio Tavares Aprox .520 mts</t>
  </si>
  <si>
    <t>Marco Antônio Moser</t>
  </si>
  <si>
    <t>Em 15/05 foi solicitado a necessidade de se prorrogar os prazos, contudo a fiscalização sinalizou que não será necessário e não vai solicitar.</t>
  </si>
  <si>
    <t>S M D COMÉRCIO E MONTAGEM DE COMPONENTES ELETRÔNICOS LTDA – EPP</t>
  </si>
  <si>
    <t>434/SMTI/2023</t>
  </si>
  <si>
    <t>Contratação de empresa para prestação de serviço de atualização tecnologia e fornecimento de equipamentos Controlador divisor de pulsos master de porta foco com informação de tempo homologado pelo Contram.</t>
  </si>
  <si>
    <t xml:space="preserve">Valcir Brasil Júnior </t>
  </si>
  <si>
    <t>020/SMTI/2023</t>
  </si>
  <si>
    <t>Revitalização Rua José Olímpio com Ciclovia e Rotatória - Tapera  Aprox 1.035 mts</t>
  </si>
  <si>
    <t>2140/2023</t>
  </si>
  <si>
    <t>025/SMTI/2023</t>
  </si>
  <si>
    <t>Execução de pavimentação e drenagem das Servidões Aciomar da Costa, Jari e Lua Grande, Pedro Santos Filho, Rosa Maria das Neves, 20 de Setembro e José Araújo Rabelo – Ingleses do Rio Vermelho – Florianópolis/SC aprox .500mts</t>
  </si>
  <si>
    <t>6146/22</t>
  </si>
  <si>
    <t xml:space="preserve">Processo interno nº 6146/22 – Readequação encaminhada a Spo em XX/09 (Negativo de R$ 8.085,10)(Colhendo assinatura) </t>
  </si>
  <si>
    <t>041/SMTI/2023</t>
  </si>
  <si>
    <t>Pavimentação e Drenagem da Servidão Novas Palmeiras - Rio Vermelho aprox 1.200mts</t>
  </si>
  <si>
    <t>042/SMTI/2023</t>
  </si>
  <si>
    <t>Revitalização da Rua Franklin Cascaes e Servidão Anhatomirim - Ponta das Canas. Aprox 895mts</t>
  </si>
  <si>
    <t>Ponta das Canas</t>
  </si>
  <si>
    <t>043/SMTI/2023</t>
  </si>
  <si>
    <t>Revitalização da Servidão Maringá Rio Vermelho aprox 1.0 km</t>
  </si>
  <si>
    <t>7186/2022</t>
  </si>
  <si>
    <t>Processo interno nº 5878/22 – Prazo encaminhado ao jurídico em XX/09 (180 Dias)_</t>
  </si>
  <si>
    <t>045/SMTI/2023</t>
  </si>
  <si>
    <t>Restauração da Avenida Max Schramm Estreito (Lote 1) Aprox 1.640 mts</t>
  </si>
  <si>
    <t>Processo interno nº 4831/22 – Readequação encaminhada ao jurídico em XX/09 (Negativo de R$ 2.277,94) (Colhendo assinatura)</t>
  </si>
  <si>
    <t>GERSON MATOS CONSTRUÇÕES EIRELI</t>
  </si>
  <si>
    <t>0103/SMTI/2023</t>
  </si>
  <si>
    <t>Revitalização da Rua Martinho de Haro Ingleses - Lote 1. Aprox 0.958 mts</t>
  </si>
  <si>
    <t>6689/22</t>
  </si>
  <si>
    <t>0137/SMTI/2023</t>
  </si>
  <si>
    <t>Revitalização das Ruas João Pacheco da Costa e Rita Lourenço da Silveira - Canto dos Araçãs – Lagoa da Conceição Aprox 942mts</t>
  </si>
  <si>
    <t>Superintendência de Mobilidade e Transporte</t>
  </si>
  <si>
    <t>JLN ESTACIONAMENTOS LTDA</t>
  </si>
  <si>
    <t>767/SMA/2012</t>
  </si>
  <si>
    <t>Concessão de uso de áreas públicas destinadas à implantação, operação, administração e exploração dos serviços de estacionamento de veículos, localizadas no município de Florianópolis</t>
  </si>
  <si>
    <t>CONCESSÃO</t>
  </si>
  <si>
    <t>Guilherme Arpini Balvedi</t>
  </si>
  <si>
    <t>Paulo Sérgio Faustino</t>
  </si>
  <si>
    <t>Reajuste tarifário PI 9080/2022 à SPO em 17/08</t>
  </si>
  <si>
    <t>CENTRO DE INFORMÁTICA E AUTOMAÇÃO DO ESTADO DE SC - CIASC</t>
  </si>
  <si>
    <t>270/SMMPU/2021</t>
  </si>
  <si>
    <t>Serviços de técnicos de informática através de direito de uso do sistema DETRANNET, desenvolvido e instalado no ambiente detacenter do CIASC, modulo fiscalização, relativos ao sistema de inserção e atualização de multas de trânsito, serviços terceirizados de postagem na modalidade denominada "carta simples com cedo", executados por meio ECT (correios) e serviço de emissão de pareceres JARI.</t>
  </si>
  <si>
    <t>Adriano Roberto de Souza</t>
  </si>
  <si>
    <t>COOPERATIVA DOS BARQUEIROS AUTONOMOS DA COSTA DA LAGOA</t>
  </si>
  <si>
    <t>931/SMMPU/2021</t>
  </si>
  <si>
    <t>Contratação de transporte regular lacustre de passageiros entre a Costa da Lagoa e Lagoa da Conceição – Florianópolis/SC.</t>
  </si>
  <si>
    <t>5500
5753</t>
  </si>
  <si>
    <t>DITEC TELECOMUNICAÇÕES LTDA</t>
  </si>
  <si>
    <t>1079/SMMPU/2020</t>
  </si>
  <si>
    <t>Operadora ou empresa especializada em locação de sistema completo de radiocomunicação digital.</t>
  </si>
  <si>
    <t xml:space="preserve">Michele Barbosa </t>
  </si>
  <si>
    <t>CONSÓRCIO FLORIPA SEGURA</t>
  </si>
  <si>
    <t>710/SMMPU/2020</t>
  </si>
  <si>
    <t>Serviços públicos de remoção, guarda e deposito de veículos apreendidos ou recolhidos em decorrência de infração de trânsito, aplicação de medidas administrativas ou penalidades.</t>
  </si>
  <si>
    <t>MORE SINALIZAÇÃO E CONSTRUÇÃO LTDA.</t>
  </si>
  <si>
    <t>935/SMMPU/2021</t>
  </si>
  <si>
    <t>Execução de serviços de fornecimento e implantação de artefatos de segurança de pedestres e condutores nas vias do município.</t>
  </si>
  <si>
    <t>Robson Camilo Azevedo</t>
  </si>
  <si>
    <t>1078/SMMPU/2020</t>
  </si>
  <si>
    <t>Manutenção, conservação, reforma e limpeza de abrigos de passageiros com fornecimento de peças e mão de obra, para o sistema de transporte coletivo.</t>
  </si>
  <si>
    <t>5500 / 5753 / 5750</t>
  </si>
  <si>
    <t>Marcela Branco Sardá</t>
  </si>
  <si>
    <t>CONSÓRCIO FÊNIX</t>
  </si>
  <si>
    <t>462/SMMU/2014</t>
  </si>
  <si>
    <t>Transporte coletivo urbano de passageiros do município de Florianópolis .</t>
  </si>
  <si>
    <t xml:space="preserve">Darcio Gustavo Correia Filho </t>
  </si>
  <si>
    <t xml:space="preserve">Maria Madalena Barbosa </t>
  </si>
  <si>
    <t>3035/23</t>
  </si>
  <si>
    <t>processo 3035/2023 solicitação de alteração da idade da frota encaminhado pra jurídico em 30/05. Despacho da sulic ( Prezados
O Contrato administrativo em questão é de concessão de serviço público, o qual possui legislação e regulamentos próprios. A alteração pretendida, salvo melhor juízo, caracteriza-se como repactuação contratual, a qual necessita de análise pormenorizada de seus impactos no equilíbrio do contrato, parecer jurídico favorável à medida, aprovação do comitê gestor de governo, dentre outros documentos.
Assim, devolvo o processo para complementação da instrução. Ultrapassada esta fase, retorne o processo para elaboração do respectivo termo aditivo/repactuação.
Att )</t>
  </si>
  <si>
    <t>BRD SOLUÇÕES EM TECNOLOGIA LTDA.</t>
  </si>
  <si>
    <t>155/SMTMU/2019</t>
  </si>
  <si>
    <t>Administração de ambientes de TI, compreendendo a prestação de serviços de suporte técnico na utilização dos recursos computacionais na instalação e administração de rede de computadores, servidores e switches, apoio à operação de sistemas aplicativos, desenvolvimento e manutenção de sistemas aplicativos, manutenção de hardware, suporte ao banco de dados, migrações, conversões e novas implementações para sede do DETRAN/SC.</t>
  </si>
  <si>
    <t>Raphael Schindwein</t>
  </si>
  <si>
    <t>1803/2023</t>
  </si>
  <si>
    <t>1143/SMTMU/2018</t>
  </si>
  <si>
    <t>Preestação de serviços de engenharia de tráfego compreendendo fornecimento e implantação de dispositivos para melhoria das condições de segurança, tráfego e acessibilidade.</t>
  </si>
  <si>
    <t>5750 / 5500 /    5752</t>
  </si>
  <si>
    <r>
      <rPr>
        <sz val="8"/>
        <color rgb="FF000000"/>
        <rFont val="Calibri"/>
        <family val="2"/>
        <charset val="1"/>
      </rPr>
      <t xml:space="preserve">16/03/2023 - Substituir Rodrigo Lapa como Fiscal do Contrato
20/03/2023 - Verificar a necessidade de </t>
    </r>
    <r>
      <rPr>
        <b/>
        <sz val="8"/>
        <color rgb="FF000000"/>
        <rFont val="Calibri"/>
        <family val="2"/>
        <charset val="1"/>
      </rPr>
      <t xml:space="preserve">NOVA LICITAÇÃO
</t>
    </r>
  </si>
  <si>
    <t>358/SMTMU/2019</t>
  </si>
  <si>
    <t>Pinturas em infraestruturas viárias.</t>
  </si>
  <si>
    <t xml:space="preserve">5752 / 5500 / 5753 </t>
  </si>
  <si>
    <t>2816/2023</t>
  </si>
  <si>
    <r>
      <rPr>
        <sz val="8"/>
        <color rgb="FF000000"/>
        <rFont val="Calibri"/>
        <family val="2"/>
        <charset val="1"/>
      </rPr>
      <t xml:space="preserve">16/03/2023 - Substituir Rodrigo Lapa como Fiscal do Contrato
20/03/2023 - Verificar a necessidade de </t>
    </r>
    <r>
      <rPr>
        <b/>
        <sz val="8"/>
        <color rgb="FF000000"/>
        <rFont val="Calibri"/>
        <family val="2"/>
        <charset val="1"/>
      </rPr>
      <t xml:space="preserve">NOVA LICITAÇÃO 20/03/2023  </t>
    </r>
  </si>
  <si>
    <t>443/SMTMU/2019</t>
  </si>
  <si>
    <t>Serviços de engenharia de tráfego compreendendo fornecimento, implantação e remoção de dispositivos para melhoria das condições de segurança, tráfego e acessibilidade.</t>
  </si>
  <si>
    <t>2905/2023</t>
  </si>
  <si>
    <r>
      <rPr>
        <sz val="8"/>
        <color rgb="FF000000"/>
        <rFont val="Calibri"/>
        <family val="2"/>
        <charset val="1"/>
      </rPr>
      <t xml:space="preserve">16/03/2023 - Substituir Rodrigo Lapa como Fiscal do Contrato
20/03/2023 - Verificar a necessidade de </t>
    </r>
    <r>
      <rPr>
        <b/>
        <sz val="8"/>
        <color rgb="FF000000"/>
        <rFont val="Calibri"/>
        <family val="2"/>
        <charset val="1"/>
      </rPr>
      <t xml:space="preserve">NOVA LICITAÇÃO.
</t>
    </r>
  </si>
  <si>
    <t xml:space="preserve">CLARO S/A. </t>
  </si>
  <si>
    <t>171/SMTMU/2018</t>
  </si>
  <si>
    <t>Empresa especializada em serviços de acesso móvel de dados, com tecnologia digital, na modalidade pós-pago, com habilitação e fornecimento de chips de dados.</t>
  </si>
  <si>
    <t>1275/2023</t>
  </si>
  <si>
    <r>
      <rPr>
        <sz val="8"/>
        <color rgb="FF000000"/>
        <rFont val="Calibri"/>
        <family val="2"/>
        <charset val="1"/>
      </rPr>
      <t xml:space="preserve">20/03/2023 - Contrato com problemas de pagamento, por conta de lançamento errado do aditivo no Sistema Betha, caso sendo tratado entre Financeiro SMTI e SULIC.
24/03/2023 - Montar </t>
    </r>
    <r>
      <rPr>
        <b/>
        <sz val="8"/>
        <color rgb="FF000000"/>
        <rFont val="Calibri"/>
        <family val="2"/>
        <charset val="1"/>
      </rPr>
      <t xml:space="preserve">Planilha de Medição. Em 28/04/2023 encaminhado para publicação.                   </t>
    </r>
  </si>
  <si>
    <t>DEPARTAMENTO ESTADUAL DE TRÂNSITO - DETRAN SC</t>
  </si>
  <si>
    <t>0005/DETRAN/2021</t>
  </si>
  <si>
    <t>Convênio de trânsito.</t>
  </si>
  <si>
    <t xml:space="preserve">Adriano </t>
  </si>
  <si>
    <t>RIZZO PARKING AND MOBILITY S/A</t>
  </si>
  <si>
    <t>1229/SMPU/2022</t>
  </si>
  <si>
    <t>Contratação de empresa especializada para prestação de serviço de informatização de estacionamento rotativo público e emissão informatizada de autos de infração englobando a disponibilização de sistema computacional (acessível pela internet e com web serviços) de gestão de estacionamento rotativo público no município de Florianópolis</t>
  </si>
  <si>
    <t>80
5500
5753</t>
  </si>
  <si>
    <t>Mariana de Oliveira Cavalcante</t>
  </si>
  <si>
    <t>Contrato Emergencial firmado em Dez/2023. Verificar necessidade necessidade de nova dispensa.</t>
  </si>
  <si>
    <t>SERVIÇO FEDERAL DE PROCESSAMENTO DE DADOS - SERPRO</t>
  </si>
  <si>
    <t>547/SMMPU/2022</t>
  </si>
  <si>
    <t>A prestação, pela CONTRATADA, dos serviços de Processamento de Dados relativos à notificação eletrônica de trânsito por meio do Sistema de Notificação Eletrônica - SNE da SENATRAN, subsistema do Registro Nacional de Infrações de Trânsito – RENAINF.</t>
  </si>
  <si>
    <t>Solicitação de prazo PI 3425/2023/2023 ao jurídico em 31/08</t>
  </si>
  <si>
    <t>COTISA</t>
  </si>
  <si>
    <t>Edital 002/99</t>
  </si>
  <si>
    <t>Outorga de concessão da construção, conservação, administração, manutenção e exploração dos Terminais de Integração do Transporte Coletivo de Florianópolis.</t>
  </si>
  <si>
    <r>
      <rPr>
        <sz val="8"/>
        <color rgb="FF000000"/>
        <rFont val="Calibri"/>
        <family val="2"/>
        <charset val="1"/>
      </rPr>
      <t xml:space="preserve">DECRETO N. 22.879, DE 11 DE MAIO DE 2021. CONCEDE PERMISSÃO PRECÁRIA À COTISA - COMPANHIA OPERADORA DE TERMINAIS DE INTEGRACAO S.A para continuação do serviço de administração dos Terminais Urbanos de Florianópolis até que se conclua o processo licitatório para concessão do referido serviço.
20/03/2023 - </t>
    </r>
    <r>
      <rPr>
        <b/>
        <sz val="8"/>
        <color rgb="FF000000"/>
        <rFont val="Calibri"/>
        <family val="2"/>
        <charset val="1"/>
      </rPr>
      <t>STM aguardando posicionamento do PGM</t>
    </r>
  </si>
  <si>
    <t>65/SMPIU/2023</t>
  </si>
  <si>
    <t>Contratação de empresa especializada em prestação de serviço de pintura com fornecimento de material plástico e remoração de pintura por microfresagem nas vias do Município de Florianópolis/SC.</t>
  </si>
  <si>
    <t>Capital &amp; Insular</t>
  </si>
  <si>
    <t>5.500 / 5.752</t>
  </si>
  <si>
    <t>2121/2023</t>
  </si>
  <si>
    <t>TECH GERENCIAMENTO DE PROJETOS LTDA-ME</t>
  </si>
  <si>
    <t>185/SMTI/2023</t>
  </si>
  <si>
    <t>Contratação emergencial de empresa especializada na prestação de serviços de manutenção semafórica e luminosa piscante, com fornecimento de materiais, por meios de ações preventivas e corretivas.</t>
  </si>
  <si>
    <t>2186/2023</t>
  </si>
  <si>
    <t>Contrato Emergencial não passível de prorrogação.</t>
  </si>
  <si>
    <t>CRESTANI COMÉRCIO EIRELI - EPP</t>
  </si>
  <si>
    <t>235/SMTI/2023</t>
  </si>
  <si>
    <t>Contratação de empresa especializada para execução de pavimentação e drenagem da Rua Deputado Otacílio Costa, bairro Cachoeira do Bom Jesus, Florianópolis/SC: Pista de Rolamento (Lote 01) e Calçadas (Lote 02)  Aprox 0310 mts</t>
  </si>
  <si>
    <t>Cachoeira do Bom Jesus</t>
  </si>
  <si>
    <t>Christiane Santos da Rocha</t>
  </si>
  <si>
    <t>1498/2023</t>
  </si>
  <si>
    <t>Processo interno nº 7675/22 – Readequação encaminhada ao jurídico em 29/08 (Negativo – R$ 36.675,16)</t>
  </si>
  <si>
    <t>236/SMTI/2023</t>
  </si>
  <si>
    <t>Contratação de empresa especializada para execução de pavimentação e drenagem das Ruas Lutz e Tadeu Szpoganicz - Cachoeira do Bom Jesus - Florianópolis/SC  Aprox 0500mts</t>
  </si>
  <si>
    <t>1460/2023</t>
  </si>
  <si>
    <t>237/SMTI/2023</t>
  </si>
  <si>
    <t>Contratação de empresa especializada para execução de pavimentação e drenagem da Servidão Palmeiras Verdes - Monte Cristo - Florianópolis/SC  Aprox 0.290 mts</t>
  </si>
  <si>
    <t>Monte Cristo</t>
  </si>
  <si>
    <t>1463/2023</t>
  </si>
  <si>
    <t>Fundo Municipal de Trânsito</t>
  </si>
  <si>
    <t>AIALA SERVICE LTDA</t>
  </si>
  <si>
    <t>010/SMTI/2023</t>
  </si>
  <si>
    <t>Aquisição de TENDAS SANFONADAS personalizadas para o exercício das atividades desenvolvidas pela Guarda Municipal de Florianópolis/SC</t>
  </si>
  <si>
    <t>Verônica Correa da Cunha Oliveira</t>
  </si>
  <si>
    <t>1136/2023</t>
  </si>
  <si>
    <t>DELTA COMÉRCIO DE EQUIPAMENTOS – EIRELI</t>
  </si>
  <si>
    <t>008/SMTI/2023</t>
  </si>
  <si>
    <t>Aquisição de BOTAS TÁTICAS para uso dos agentes no exercício das atividades laborais da Guarda
Municipal de Florianópolis/SC</t>
  </si>
  <si>
    <t>Alexandro Amorim</t>
  </si>
  <si>
    <t>WORLD AMÉRICA SINALIZAÇÃO LTDA</t>
  </si>
  <si>
    <t>221/SMTI/2023</t>
  </si>
  <si>
    <t xml:space="preserve">Aquisição de equipamentos de transito para auxiliar e exercícios das atividades desenvolvidas pela Guarda Municipal de Florianópolis/SC  </t>
  </si>
  <si>
    <t xml:space="preserve">SHC COMÉRCIO DE MÓVEIS E SERVIÇOS DE MONTAGEM LTDA – ME </t>
  </si>
  <si>
    <t>141/SMI/2023</t>
  </si>
  <si>
    <t>Fornecimentos de cadeiras fixas, conforme especificações ds Associação Brasileira de Normas Técnicas / ABNT e Instituto de Metrologia de Santa Catarina.</t>
  </si>
  <si>
    <t>Marcos Aurélio Rosa</t>
  </si>
  <si>
    <t>Fundo Municipal de Saneamento e Habitação</t>
  </si>
  <si>
    <t xml:space="preserve">PROACTIVA MEIO AMBIENTE BRASIL LTDA </t>
  </si>
  <si>
    <t>1102/FMSB/2022</t>
  </si>
  <si>
    <t>Transporte e destinação final ambientalmente adequada dos resíduos urbanos provenientes de Florianópolis/ SC.</t>
  </si>
  <si>
    <t xml:space="preserve">80
105 </t>
  </si>
  <si>
    <t>Marcos Genro de Brum</t>
  </si>
  <si>
    <t xml:space="preserve">Karina da Silva de Souza </t>
  </si>
  <si>
    <t>QUALIDADE MINERAÇÃO LTDA</t>
  </si>
  <si>
    <t>172/SMLMU/2023</t>
  </si>
  <si>
    <t xml:space="preserve">Contratação de empresa especializada para manutenção e recuperação de pavimentação asfáltica -CBUQ nas regiões: Lote 01- Região Continental, Lote 02- Região Sul e Central Insular e Lote 03- Região Norte e Leste Insular. </t>
  </si>
  <si>
    <t xml:space="preserve">Processo interno nº 3711/23 – Aditivo de valor encaminhado ao jurídico em 06/09 (R$1.019.717,94) </t>
  </si>
  <si>
    <t>YNOV DISTRIBUIÇÃO DE PRODUTOS EIRELI – ME</t>
  </si>
  <si>
    <t>009/SMTI/2023</t>
  </si>
  <si>
    <t>Contratação de empresa para o fornecimento de fita matricial ERC-09 e bobina de papel para impressora matricial utilizada nos 8 (oito) etilômetros modelo BAF 300 pertencentes a Guarda Municipal de Florianópolis/SC</t>
  </si>
  <si>
    <t>268/SMTI/2023</t>
  </si>
  <si>
    <t>Contratação de empresa especializada para execução da Pavimentação e drenagem da Servidão das Águias - Campeche – Florianópolis SC.</t>
  </si>
  <si>
    <t>Campeche</t>
  </si>
  <si>
    <t>TERRAPLEIN LTDA</t>
  </si>
  <si>
    <t>283/SMTI/2023</t>
  </si>
  <si>
    <t>Contratação de empresa especializada para implantação, pavimentação e drenagem do Binário da Avenida das Rendeiras – Lagoa da Conceição – Florianópolis/SC.aprox 0.500mts</t>
  </si>
  <si>
    <t>6405
6404 (FINISA 4)</t>
  </si>
  <si>
    <t>ADITIVO - MONTAGEM</t>
  </si>
  <si>
    <t>Processo interno nº XX/XX Aditivo de valor encaminhado ao financeiro em 14/09 (R$ 933.499,77)</t>
  </si>
  <si>
    <t>SULVALE EQUIPAMENTOS EIRELI – EPP</t>
  </si>
  <si>
    <t>220/SMTI/2023</t>
  </si>
  <si>
    <t xml:space="preserve">Aquisição de equipamentos sw sinalização de trânsito para  auxiliar o exercer das atividades desenvolvidas pela Guarda Municipal de Florianópolis/SC </t>
  </si>
  <si>
    <t xml:space="preserve">DJFP CONSTRUÇÃO EIRELI </t>
  </si>
  <si>
    <t>324/SMTI/2023</t>
  </si>
  <si>
    <t xml:space="preserve">Contratação de empresa especializada para fornecimento de 04 academias ao ar livre no município de Florianópolis/SC </t>
  </si>
  <si>
    <t>9533/2022</t>
  </si>
  <si>
    <t>332/SMTI/2023</t>
  </si>
  <si>
    <r>
      <rPr>
        <sz val="8"/>
        <color rgb="FF000000"/>
        <rFont val="Calibri"/>
        <family val="2"/>
        <charset val="1"/>
      </rPr>
      <t>Contratação de empresa para execução da restauração e readequação da faixa de rolamento (lote 01) da Avenida Diomício Freitas – Carianos – Florianópolis/SC  Aprox</t>
    </r>
    <r>
      <rPr>
        <sz val="8"/>
        <color rgb="FFFF0000"/>
        <rFont val="Calibri"/>
        <family val="2"/>
        <charset val="1"/>
      </rPr>
      <t xml:space="preserve"> </t>
    </r>
    <r>
      <rPr>
        <sz val="8"/>
        <color rgb="FF000000"/>
        <rFont val="Calibri"/>
        <family val="2"/>
        <charset val="1"/>
      </rPr>
      <t>2.429 mts</t>
    </r>
  </si>
  <si>
    <t xml:space="preserve">Carianos </t>
  </si>
  <si>
    <t>Wilhan Sousa dos Santos Masquio Faé</t>
  </si>
  <si>
    <t>CRESTANI COMÉRCIO EIRELI – EPP</t>
  </si>
  <si>
    <t>333/SMTI/2023</t>
  </si>
  <si>
    <t xml:space="preserve">Contratação  de empresa especializada para execução da restauração e adequação da calçada  ( Lote 02) da Avenida Diomício Freitas – Carianos – Florianópolis/SC </t>
  </si>
  <si>
    <t>TRIO CONSTRUTORA E INCORPORADORA LTDA – EPP</t>
  </si>
  <si>
    <t>413/SNTI/2023</t>
  </si>
  <si>
    <t>Contratação de empresa especializada para execução da construção do Centro de Convivência no bairro Ingleses – Florianópolis/SC.</t>
  </si>
  <si>
    <t>571/2023</t>
  </si>
  <si>
    <t>LA FORTE ENGENHARIA LTDA – EPP</t>
  </si>
  <si>
    <t>524/SMTI/2023</t>
  </si>
  <si>
    <t>Contratação de empresa especializada para execução de calçadas  (Lote 02), ambos da Servidão Três Marias – Ingleses – Florianópolis/SC.</t>
  </si>
  <si>
    <t>4243/2023</t>
  </si>
  <si>
    <t xml:space="preserve">C.A.P CONSTRUÇÃO E TERRAPLANAGEM  LTDA – EPP </t>
  </si>
  <si>
    <t>405/SMTI/2023</t>
  </si>
  <si>
    <t>Contratação de empresa especializada para execução revitalização do pavimento das Ruas Sidnei Noceti, Aristides Lobo e Visconde de Taunay e Servidão Franzoni – Agronômica – Florianópolis/SC.</t>
  </si>
  <si>
    <t>Agronômica</t>
  </si>
  <si>
    <t>1912/2023</t>
  </si>
  <si>
    <t xml:space="preserve">TJ SERVIÇOS ESPECIALIZADOS LTDA – ME </t>
  </si>
  <si>
    <t>440/SMTI/2023</t>
  </si>
  <si>
    <t>Contratação de empresa especializada para a Recuperação de Cobertura e Pintura do Centro
Comunitário no bairro Ribeirão da Ilha, incluso a mão de obra, materiais, equipamentos,
ferramentas e quaisquer outros insumos necessários para a perfeita execução dos serviços.</t>
  </si>
  <si>
    <t>1840/2023</t>
  </si>
  <si>
    <t>Processo interno nº 1840/23 Aditivo de valor encaminhado ao comitê em 11/09 (R$ 35.530,62) (Aguardando autorização prévia da Comissão de Obras)</t>
  </si>
  <si>
    <t>444/SMTI/2023</t>
  </si>
  <si>
    <t xml:space="preserve">Contratação de Empresa especializada para Construção de Deckes e Trapiches no Município de Florianópolis/SC. </t>
  </si>
  <si>
    <t>Pablo Rhuan Ataide Monteiro</t>
  </si>
  <si>
    <t>270/23</t>
  </si>
  <si>
    <t>Solicitação de Apostilamento para alteração de fonte enviado á Jurídico EM 13/09</t>
  </si>
  <si>
    <t xml:space="preserve">ECHOA ENGENHARIA S/S – EPP </t>
  </si>
  <si>
    <t>809/FMSB/2019</t>
  </si>
  <si>
    <t>Contratação de empresa para execução de serviços técnicos especializados do Programa Floripa se Liga na Rede.</t>
  </si>
  <si>
    <t>Aline Sardá</t>
  </si>
  <si>
    <t xml:space="preserve">João Henrique de Siqueira Quissak Pereira  </t>
  </si>
  <si>
    <t>5709/23</t>
  </si>
  <si>
    <t xml:space="preserve">MSM EMPREITEIRA DE MÃO DE OBRA LTDA – ME </t>
  </si>
  <si>
    <t>459/SMTI/2023</t>
  </si>
  <si>
    <t>Contratação de empresa especializada para execução da pavimentação da Rua Recanto do Beija Flor, Servidão Guanimbé, Servidão Valdir Oliveira Leite e Servidão Bosque dos Girassóis, Campeche – Florianópolis/SC.</t>
  </si>
  <si>
    <t>847/2023</t>
  </si>
  <si>
    <t>416/SMTI/2023</t>
  </si>
  <si>
    <t xml:space="preserve">Contratação de empresa especializada para execução de obras/serviços de engenharia: revitalização do Caminho da Costa da Lagoa no Município de Florianópolis/SC. </t>
  </si>
  <si>
    <t xml:space="preserve">Costa da lagoa </t>
  </si>
  <si>
    <t xml:space="preserve">5701 / 7701 / 5500 / 7500 / </t>
  </si>
  <si>
    <t>935/2023</t>
  </si>
  <si>
    <t>99-A</t>
  </si>
  <si>
    <t>STANDARD CONSTRUÇÕES LTDA</t>
  </si>
  <si>
    <t>465/SMTI/2023</t>
  </si>
  <si>
    <t xml:space="preserve">Contratação de empresa especializada para execução de obras/serviços de engenharia: para as obras de pavimentação da Servidão Rafael da Rocha Linhares (Barra da Lagoa), Servidão Canuto Marcos dos Santos (Cachoeira do Bom Jesus), Servidão Alexandre de Souza (Saco Grande), Servidão Aparício Sinfônio (Rio Tavares) </t>
  </si>
  <si>
    <t>868/2023</t>
  </si>
  <si>
    <t>Apostilamento para inclusão de fonte proc. 868/2023  GG em 13/09</t>
  </si>
  <si>
    <t>99-B</t>
  </si>
  <si>
    <t xml:space="preserve">Contratação de empresa especializada para execução de obras/serviços de engenharia: para as obras de pavimentação da Servidão Venâncio Bernardinho das Chagas (Rio Tavares), e Servidão Cassiano Gregório Flor (Ingleses do Rio Vermelho). </t>
  </si>
  <si>
    <t>RUHMO INFRAESTRUTURA LTDA – EPP</t>
  </si>
  <si>
    <t>468/SMTI/2023</t>
  </si>
  <si>
    <t>Contratação de empresa especializada para execução de obras/serviços de engenharia: Pavimentação da Rua Maestro Aldo Krieger – Córrego Grande.</t>
  </si>
  <si>
    <t>Córrego Grande</t>
  </si>
  <si>
    <t>2840/2023</t>
  </si>
  <si>
    <t>DJP CONSTRUÇÕES LTDA – EPP</t>
  </si>
  <si>
    <t>475/SMTI/2023</t>
  </si>
  <si>
    <t>Contratação de empresa especializada para execução de obras/serviços de engenharia: para as obras de pavimentação da Rua das Amoreiras (Carvoeira), Servidão Daniel José Homem (Ratones), Servidão Jardim dos Poetas (Campeche), Servidão Flora Francisca Vieira (Vó ola), Servidão Martim Pescador (Rio Tavares), Servidão Vista do Mar (Ingleses do Rio Vermelho).</t>
  </si>
  <si>
    <t>9551/22</t>
  </si>
  <si>
    <t>CONSTRUÇÕES SCHOROEDER LTDA</t>
  </si>
  <si>
    <t>479/SMTI/2023</t>
  </si>
  <si>
    <r>
      <rPr>
        <b/>
        <sz val="8"/>
        <color rgb="FF000000"/>
        <rFont val="Calibri"/>
        <family val="2"/>
        <charset val="1"/>
      </rPr>
      <t xml:space="preserve">LOTE 01: </t>
    </r>
    <r>
      <rPr>
        <sz val="8"/>
        <color rgb="FF000000"/>
        <rFont val="Calibri"/>
        <family val="2"/>
        <charset val="1"/>
      </rPr>
      <t xml:space="preserve">Contratação de empresa especializada para execução de obras/ serviços de engenharia: </t>
    </r>
    <r>
      <rPr>
        <b/>
        <sz val="8"/>
        <color rgb="FF000000"/>
        <rFont val="Calibri"/>
        <family val="2"/>
        <charset val="1"/>
      </rPr>
      <t>PAVIMENTAÇÃO e DRENAGEM</t>
    </r>
    <r>
      <rPr>
        <sz val="8"/>
        <color rgb="FF000000"/>
        <rFont val="Calibri"/>
        <family val="2"/>
        <charset val="1"/>
      </rPr>
      <t xml:space="preserve"> da Servidão Três Marias, nos Ingleses, Município de Florianópolis/SC.  </t>
    </r>
  </si>
  <si>
    <t>679/2023</t>
  </si>
  <si>
    <t>480/SMTI/2023</t>
  </si>
  <si>
    <t>Contratação de empresa especializada para execução de obras/serviços de engenharia: Revitalização da Ponta do Pitoco, Lagoa da Conceição.</t>
  </si>
  <si>
    <t>781/2023</t>
  </si>
  <si>
    <t>FBV CONSTRUTORA E INCORPORADORA LTDA – EPP</t>
  </si>
  <si>
    <t>481/SMTI/2023</t>
  </si>
  <si>
    <t>Contratação de Empresa  especializada para execução de obras/serviços de engenharia: Para as obras de pavimentação da Servidão Cacupé, Servidão Knussen (Porto Da Lagoa) a Rua das Manjubas (Jurerê).</t>
  </si>
  <si>
    <t>504/2023</t>
  </si>
  <si>
    <t>482/SMTI/2023</t>
  </si>
  <si>
    <t>Contratação de Empresa  especializada para implantação da Pista de Skate na Praça Recanto dos Manacás – Rio Vermelho – Florianópolis/SC.</t>
  </si>
  <si>
    <t>2229/2023</t>
  </si>
  <si>
    <t>PREMOLDER CONSTRUÇÕES LTDA – EPP</t>
  </si>
  <si>
    <t>487/SMTI/2023</t>
  </si>
  <si>
    <t>Contratação de empresa especializada para execução de obras/serviços de engenharia: para as obras de pavimentação das Servidões: Ipê do Costa (Santinho), 29 De Julho (Rio Tavares), Osvaldo Olério dos Santos (Rio Vermelho), Ninho das Corujas (Rio Vermelho), Acrópole (Ingleses), Rosa Maria das Neves (Ingleses) e José Pinto de Melo (Rio Vermelho).</t>
  </si>
  <si>
    <t>2839/2023</t>
  </si>
  <si>
    <t>CRESTANI COMÉRCIO LTDA – EPP</t>
  </si>
  <si>
    <t>512/SMTI/2023</t>
  </si>
  <si>
    <t>Contratação de Empresa especializada para a execução de obras/serviços de engenharia: reforma do Mercado Público (pintura, acessibilidade e elétrico).</t>
  </si>
  <si>
    <t>887/2023  e 079/2023</t>
  </si>
  <si>
    <t>513/SMTI/2023</t>
  </si>
  <si>
    <t>Contratação de empresa especializada para execução de obras/serviços de engenharia: Implantação de Área de Esporte e Lazer na Servidão Recanto dos Manacás, Rio Vermelho – Florianópolis/SC.</t>
  </si>
  <si>
    <t>5701 / 7420</t>
  </si>
  <si>
    <t>877/2023</t>
  </si>
  <si>
    <t>531/SMTI/2023</t>
  </si>
  <si>
    <t>Contratação de empresa especializada para execução de obras/serviços de engenharia: Execução da Revitalização da Rua Jardim dos Eucaliptos (Lote 01:  Pista de Rolamento) – Campeche – Florianópolis/SC.</t>
  </si>
  <si>
    <t>FISCAL</t>
  </si>
  <si>
    <t>963/2023</t>
  </si>
  <si>
    <t>Em 07/08 – Aguardando definição Fiscal / Data para publicação da Portaria.</t>
  </si>
  <si>
    <t>532/SMTI/2023</t>
  </si>
  <si>
    <t>Contratação de empresa especializada para execução de obras/serviços de engenharia: Execução da Revitalização da Rua Jardim dos Eucaliptos (Lote 02: Calçadas) – Campeche – Florianópolis/SC.</t>
  </si>
  <si>
    <t>ORDEM DE EXECUÇÃO</t>
  </si>
  <si>
    <t xml:space="preserve">Em 1/08/23- Aguardando autorização da Emissão da Ordem de Serviço e definição fiscal </t>
  </si>
  <si>
    <t xml:space="preserve"> QUALIDADE MINERAÇÃO LTDA</t>
  </si>
  <si>
    <t>625/SMTI/2023</t>
  </si>
  <si>
    <t>Contratação de empresa especializada para execução de Pavimentação das Ruas General Estilac Leal e Hercílio de Aquino (Lote 01) – Coqueiros – Florianópolis/SC.</t>
  </si>
  <si>
    <t>1747/2023</t>
  </si>
  <si>
    <t>639/SMTI/2023</t>
  </si>
  <si>
    <t>Contratação de empresa especializada para execução da revitalização da Rua São Vicente de Paula - Agronômica - Florianópolis/SC. - Faixa de rolamento (Lote 01).</t>
  </si>
  <si>
    <t>9420/2022</t>
  </si>
  <si>
    <t xml:space="preserve">Em 05/09/23- Aguardando autorização da Emissão da Ordem de Serviço e definição fiscal        </t>
  </si>
  <si>
    <t>TOTAL</t>
  </si>
  <si>
    <t>CONTROLE CONTRATUAL - SMTI</t>
  </si>
  <si>
    <t>INDICADORES</t>
  </si>
  <si>
    <t>ITEM</t>
  </si>
  <si>
    <t>CONTRATO</t>
  </si>
  <si>
    <r>
      <rPr>
        <b/>
        <sz val="8"/>
        <color rgb="FF000000"/>
        <rFont val="Calibri"/>
        <family val="2"/>
        <charset val="1"/>
      </rPr>
      <t xml:space="preserve">FORNECEDOR </t>
    </r>
    <r>
      <rPr>
        <b/>
        <sz val="8"/>
        <color rgb="FFFF0000"/>
        <rFont val="Calibri"/>
        <family val="2"/>
        <charset val="1"/>
      </rPr>
      <t>(D3)</t>
    </r>
  </si>
  <si>
    <t>DESCRIÇÃO</t>
  </si>
  <si>
    <t>VIGÊNCIA</t>
  </si>
  <si>
    <t>DIAS RESTANTES</t>
  </si>
  <si>
    <t>VALOR DO CONTRATO</t>
  </si>
  <si>
    <t>SALDO ATUAL</t>
  </si>
  <si>
    <t>136/SMA/2019</t>
  </si>
  <si>
    <t>SELBETI</t>
  </si>
  <si>
    <t>Fornecimento de cópias, impressões, digitalizações, incluída a instalação, prestação de serviços de manutenção preventiva com reposição de peças</t>
  </si>
  <si>
    <t>AUTORIZAÇÃO DE FORNECIMENTO</t>
  </si>
  <si>
    <t xml:space="preserve">Tiago Teixeira </t>
  </si>
  <si>
    <t>0474/SMA/2022</t>
  </si>
  <si>
    <t>ONDREPSB LIMPEZA E SERVIÇOS ESPECIAIS LTDA</t>
  </si>
  <si>
    <t>prestação de serviços de locação de mão de obra para apoio administrativo, apoio técnico e apoio operacional aos órgãos da Administração Direta e Indireta do Município de Florianópolis/SC</t>
  </si>
  <si>
    <t>1021/SMI/2018</t>
  </si>
  <si>
    <t>LOCA AUTO LOCADORA DE VEÍCULOS EIRELI – EPP</t>
  </si>
  <si>
    <t>Serviços de locação eventual/diária de veículos terrestres e motorizados, para transporte de passageiros, sem combustível, com quilometragem livre, abrangendo todos os custos, com manutenção ( peças e serviços ) e com obrigações legais. Os veículos serão utilizados nos serviços administrativos e operacionais da Prefeitura Municipal de Florianópolis.</t>
  </si>
  <si>
    <t>0981/SMA/2022</t>
  </si>
  <si>
    <t>E&amp;AR EQUIPAMENTOS DE REFRIGERAÇÃO EIRELI – EPP</t>
  </si>
  <si>
    <t xml:space="preserve">Prestação de serviços na manutenção preventiva, corretiva e instalação de aparelhos de ar condicionado tipo parede, em aparelhos tipo split e em aparelhos tipo cassete , com fornecimento de materiais de consumo, ferramentas de substituição/reposição de peças, componentes/acessórios  por outras novas e originais, e cargas de gás, pertencentes as Secretarias do Município de Florianópolis </t>
  </si>
  <si>
    <t>1057/SMI/2022</t>
  </si>
  <si>
    <t>YURI RUTKOSKI RODRIGUES 09144509995</t>
  </si>
  <si>
    <t>Fornecimento de suprimentos e equipamentos de informática para a Secretaria Municipal de Infraestrutura do Município</t>
  </si>
  <si>
    <t>Sandro Bremer
Tiago Teixeira</t>
  </si>
  <si>
    <t>1141/SMA/2022</t>
  </si>
  <si>
    <t>RX LOCADORA DE VEÍCULOS LTDA – EPP</t>
  </si>
  <si>
    <t>Locação de veículos terrestres e motorizados, para transporte de passageiros, sem motorista, sem combustível, com quilometragem livre, abrangendo os custos, com manutenção ( peças e serviços ) e com obrigações legais</t>
  </si>
  <si>
    <t xml:space="preserve">Sandro Bremer </t>
  </si>
  <si>
    <t>140/SMTI/2023</t>
  </si>
  <si>
    <t xml:space="preserve">SERRA MOBILE INDÚSTRIA E COMÉRCIO LTDA </t>
  </si>
  <si>
    <t>Fornecimento de cadeiras giratórias e fixas, suportes para monitores e apoios para os pés conforme especificações da Associação Brasileira de Normas Técnicas/ABT e Instituto de Metrologia de Santa Catarina, INMETRO.</t>
  </si>
  <si>
    <t xml:space="preserve">Marcos Aurélio </t>
  </si>
  <si>
    <t>122/SMTMI/2023</t>
  </si>
  <si>
    <t xml:space="preserve">R.S. VAREJO EIRELI – EPP </t>
  </si>
  <si>
    <t xml:space="preserve">Fornecimento de suprimentos e equipamentos de informática para a Secretaria Municipal de Transportes Infraestrutura da PMF.  </t>
  </si>
  <si>
    <t xml:space="preserve">Tiago  Teixeira </t>
  </si>
  <si>
    <t>139/SMTI/2023</t>
  </si>
  <si>
    <t xml:space="preserve">PRATIKA SOLUÇÕES LTDA – ME </t>
  </si>
  <si>
    <t xml:space="preserve">Fornecimento de apoio ergonômico para os pés ABS </t>
  </si>
  <si>
    <t>121/SMTI/2023</t>
  </si>
  <si>
    <t>PRATIKA SOLUÇÕES LTDA-ME</t>
  </si>
  <si>
    <t>Fornecimento de suprimentos e equipamentos de informática</t>
  </si>
  <si>
    <t>120/SMTI/2023</t>
  </si>
  <si>
    <t>PR TELECOM COMÉRCIO E SERVIÇOS – EIRELI – EPP</t>
  </si>
  <si>
    <t xml:space="preserve">Fornecimento de suprimentos e equipamentos de informática para a Secretaria </t>
  </si>
  <si>
    <t>1174/SMA/2022</t>
  </si>
  <si>
    <t>B4 ENGENHARIA LTDA – EPP</t>
  </si>
  <si>
    <t>Manutenção Predial para todos os Órgão da Administração Municipal – Florianópolis/ SC</t>
  </si>
  <si>
    <r>
      <rPr>
        <sz val="8"/>
        <color rgb="FF000000"/>
        <rFont val="Cambria"/>
        <family val="1"/>
        <charset val="1"/>
      </rPr>
      <t>17/05 – Processos iniciais de  Solicitação de A</t>
    </r>
    <r>
      <rPr>
        <sz val="8"/>
        <rFont val="Cambria"/>
        <family val="1"/>
        <charset val="1"/>
      </rPr>
      <t>postilamento referente a  alteração de dotação orçamentaria. Enviado SULIC em 22/05</t>
    </r>
  </si>
  <si>
    <t>441/SMTI/2023</t>
  </si>
  <si>
    <t xml:space="preserve">PERFORM TECNOLOGIA EIRELI </t>
  </si>
  <si>
    <t>Contratação de empresa para o funcionamento de notebooks novos destinados à Secretaria Municipal de Infraestrutura de Florianópolis/SC.</t>
  </si>
  <si>
    <t>119/SMTI/2023</t>
  </si>
  <si>
    <t>GRUPO GBA COMÉRCIO ATACADISTA &amp; SERVIÇO LTDA – ME</t>
  </si>
  <si>
    <t>Fornecimento de suprimentos e equipamentos de informática para a Secretaria municipal de Florianópolis/SC.</t>
  </si>
  <si>
    <t>RENOVAÇÃO CONTRATUAL</t>
  </si>
  <si>
    <t>TIPO DE 
OBRA/SERVIÇO</t>
  </si>
  <si>
    <t>EXECUÇÃO INICIAL</t>
  </si>
  <si>
    <t>PRAZO DE 
EXECUÇÃO (DIAS)</t>
  </si>
  <si>
    <t>INÍCIO DA PARALISAÇÃO</t>
  </si>
  <si>
    <t>FIM DA 
PARALISAÇÃO</t>
  </si>
  <si>
    <t>TOTAL DE 
DIAS PARADOS</t>
  </si>
  <si>
    <t>FONTE 
DE RECURSO</t>
  </si>
  <si>
    <t>VALOR 
DO CONTRATO</t>
  </si>
  <si>
    <t>ASSINATURA CONTRATO/ADITIVO</t>
  </si>
  <si>
    <t>PRAZO MÁX. DE RENOVAÇÃO (ANO)</t>
  </si>
  <si>
    <t>PRAZO MÁX. DE RENOVAÇÃO</t>
  </si>
  <si>
    <t>0323/SMI/2022</t>
  </si>
  <si>
    <t>Execução de Pavimentação e Drenagem da  Servidão Damázio Pedro Celestino (Campeche) - Florianópolis/SC</t>
  </si>
  <si>
    <t>(13) FINALIZADO</t>
  </si>
  <si>
    <t>0289/SMI2022</t>
  </si>
  <si>
    <t>PROPAV PROJETOS E CONSTRUÇÕES LTDA - ME</t>
  </si>
  <si>
    <t>Pavimentação e drenagem Rua Valdomiro Francisco Senábio - Rio  Vermelho - Florianópolis/SC</t>
  </si>
  <si>
    <t>0288/SMI/2022</t>
  </si>
  <si>
    <t>HEPAV CONSTRUÇÕES EIRELI - ME</t>
  </si>
  <si>
    <t>Serviços de Drenagem e Pavimentação  Lote 3: Servidão Melissa - Pântano do Sul - Fpolis/SC</t>
  </si>
  <si>
    <t>404/30</t>
  </si>
  <si>
    <t>Frederico Amorim Dacoregio</t>
  </si>
  <si>
    <t>Serviços de Drenagem e Pavimentação Lote 02: Rua Humberto Fernandes Mendonça - Lagoa da Conceição - Fpolis/SC</t>
  </si>
  <si>
    <t>290/SMI/2022</t>
  </si>
  <si>
    <t>Revitalização Avenida Nagib Jabor - Capoeiras</t>
  </si>
  <si>
    <t>Capoeiras</t>
  </si>
  <si>
    <t>289/SMI/2022</t>
  </si>
  <si>
    <t>Pavimentação e drenagem da Rua Jarbas de Oliveira - Rio  Vermelho - Florianópolis/SC</t>
  </si>
  <si>
    <t>691/SMI/2020</t>
  </si>
  <si>
    <t>Execução da pavimentação da Avenida Prefeito Acácio Garibalde São Thiago(acesso a Joaquina)</t>
  </si>
  <si>
    <t>Joaquina</t>
  </si>
  <si>
    <t>0368/SMI/2022</t>
  </si>
  <si>
    <t>Execução da restauração e adequação da Avenida das Raias - Jurerê - Florianópolis/SC</t>
  </si>
  <si>
    <t>Jurerê</t>
  </si>
  <si>
    <t>Execução de Pavimentação e Drenagem da Servidão Coqueiros do Sul (Costeira do Pirajubaé) - Florianópolis/SC</t>
  </si>
  <si>
    <t>Execução de Pavimentação e Drenagem da Rua Nossa Senhora de Fátima (Campeche)- Florianópolis/SC</t>
  </si>
  <si>
    <t>Execução de Pavimentação e Drenagem da Servidão Recanto do Lagarto (Campeche) - Florianópolis/SC</t>
  </si>
  <si>
    <t>0287/SMI/2022</t>
  </si>
  <si>
    <t>Pavimentação e drenagem da Rua São Francisco de Sales - Ribeirãoda Ilha  LOTE 1</t>
  </si>
  <si>
    <t>404
30</t>
  </si>
  <si>
    <t>0285/SMI/2022</t>
  </si>
  <si>
    <t xml:space="preserve">Prestação de serviços de pavimentação e drenagem do: Lote 02: Servidão Marcelino Antônio Nunes - Vargem do Bom Jesus - Florianópolis/SC. </t>
  </si>
  <si>
    <t>Vargem do Bom Jesus</t>
  </si>
  <si>
    <t>Prestação de serviços de pavimentação e drenagem do: Lote 02: Servidão Navegantes do Mar - Ingleses - Florianópolis/SC. Servidão Manga Rosa - Ingleses - Florianópolis/SC.</t>
  </si>
  <si>
    <t>0279/SMI/2022</t>
  </si>
  <si>
    <t>Execução de pavimentação e drenagem das Servidões Olindina Adelaide de Guimarães (Vargem Grande) - Florianópolis/SC.</t>
  </si>
  <si>
    <t xml:space="preserve">Execução de pavimentação e drenagem das Servidões José Cassol ( Ingleses do Rio Vermelho ), Alvino Luciano da Silva (Ingleses do Rio Vermelho) </t>
  </si>
  <si>
    <t>0275/SMI/2022</t>
  </si>
  <si>
    <t>Pavimentação e Drenagem das Servidões Tronco Forte, Francelino José Demétrio, Joana Maria da Costa e Bons Amigos - Campeche - Florianópolis/SC.</t>
  </si>
  <si>
    <t>405</t>
  </si>
  <si>
    <t>0274/SMI/2022</t>
  </si>
  <si>
    <t>Prestação de serviços de pavimentação e drenagem do LOTE 01 (Servidão do Artistas - Rio Tavares)</t>
  </si>
  <si>
    <t>404</t>
  </si>
  <si>
    <t xml:space="preserve">Prestação de serviços de pavimentação e drenagem do  LOTE 2(Servidão Cândida maria dos Santos - Barra da lagoa) - </t>
  </si>
  <si>
    <t>Barra da Lagoa</t>
  </si>
  <si>
    <t>Prestação de serviços de pavimentação e drenagem do LOTE 3 (Servidão dos Jacarés do Papo Amarelo - Pântano do Sul)</t>
  </si>
  <si>
    <t>0222/SMI/2022</t>
  </si>
  <si>
    <t>STANDARD CONSTRUÇÕES LTDA - ME</t>
  </si>
  <si>
    <t>Prestação de serviços de pavimentação e drenagem do Lote 02: Rua das Corticeiras - Campeche.</t>
  </si>
  <si>
    <t>030
403</t>
  </si>
  <si>
    <t>432/FMSB/2022</t>
  </si>
  <si>
    <t xml:space="preserve">Recuperação e manutenção EMERGENCIAL de pavimentação asfáltica com CBUQ nas vias públicas do município, da Região Norte e Leste Insular – Florianópolis/SC </t>
  </si>
  <si>
    <t xml:space="preserve">80 / 105
</t>
  </si>
  <si>
    <t>Rafael Fernando Sversutti</t>
  </si>
  <si>
    <t>108/SMI/2022</t>
  </si>
  <si>
    <t>RACINE COMERCIAL LTDA – EPP</t>
  </si>
  <si>
    <t xml:space="preserve">Contratação de empresa especializada para aquisição de máquinas, ferramentas e materiais utilizados no setor de manutenção de roçadeiras e equipamentos da Superintendência de Limpeza Pública da Secretaria Municipal de Infraestrutura.  </t>
  </si>
  <si>
    <t>526/SMI/2021</t>
  </si>
  <si>
    <t>Revitalização da Avenida Ivo Silveira</t>
  </si>
  <si>
    <t>80
402
403</t>
  </si>
  <si>
    <t>10/04/2023 - Medições encerradas.</t>
  </si>
  <si>
    <t>319/SMI/2019</t>
  </si>
  <si>
    <t>Recuperação e Construção de Decks e Trapiches no Município de Florianópolis/SC.</t>
  </si>
  <si>
    <t>centro</t>
  </si>
  <si>
    <t>80
402
405</t>
  </si>
  <si>
    <t>553/SMI/2020</t>
  </si>
  <si>
    <t>PLANALTO ENGENHARIA LTDA. EPP</t>
  </si>
  <si>
    <t>Execução da reforma do Casarão Bento Silvério Lagoa da Conceição - Florianópolis/SC</t>
  </si>
  <si>
    <t>693/SMI/2022</t>
  </si>
  <si>
    <t xml:space="preserve"> Contratação de empresa especializada para execução da drenagem e pavimentação da Rua Abelardo Otacílio Gomes - Pântano do Sul – Florianópolis/SC.</t>
  </si>
  <si>
    <t xml:space="preserve">Pantano do Sul </t>
  </si>
  <si>
    <t>0366/SMI/2022</t>
  </si>
  <si>
    <t>SATÉLITE</t>
  </si>
  <si>
    <t xml:space="preserve">Construção de Pista de Skate - Trindade </t>
  </si>
  <si>
    <t>Trindade</t>
  </si>
  <si>
    <t>Em 15/05 foi comunicado ao fiscal Izabel para necessidade de solicitar prorrogação de prazo e sinalizou que não será necessário pois esta em fase de liquidação.</t>
  </si>
  <si>
    <t>0341/SMI/2022</t>
  </si>
  <si>
    <t>CONSTRUÇÕES SCHOROEDER EIRELI</t>
  </si>
  <si>
    <t xml:space="preserve">Execução de requalificação da Rua Mane Vicente - Monte Verde -  Florianópolis/SC </t>
  </si>
  <si>
    <t>Monte Verde</t>
  </si>
  <si>
    <t>15/05/2023 - Contrato em fase de liquidação.</t>
  </si>
  <si>
    <t>0221/SMI/2022</t>
  </si>
  <si>
    <t xml:space="preserve">Pavimentação e Drenagem do lote 01: Servidão Eduardo Marques da Rosa - Ingleses/Rio Vermelho; Servidão Domingos Serafim dos Santos Ingleses/Santinho;  Servidão Maria Afonso Santos - Ingleses /Rio Vermelho;  Servidão das Pitangas Doces - Ingleses/Rio Vermelho </t>
  </si>
  <si>
    <t xml:space="preserve">30 / 403
</t>
  </si>
  <si>
    <t>1218/SMI/2022</t>
  </si>
  <si>
    <t>Contratação de empresa especializada para execução da Pavimentação da Rua das Dunas – Ingleses – Florianópolis SC</t>
  </si>
  <si>
    <t>1161/SMI/2022</t>
  </si>
  <si>
    <t xml:space="preserve">Contratação emergencial de empresa especializada para execução de obras de drenagem e recuperação de pavimentação em paver e lajotas, e execução de muros de contenção, conforme o Decreto n°24.475 de 30 de novembro de 2022 que determina a situação de emergência e Registro n° SC-F4205407-13214-20221130 junto ao Sistema Integrado de Informação de Desastre.  </t>
  </si>
  <si>
    <t>242/SMTI/2023</t>
  </si>
  <si>
    <t>VMV MATÉRIAS DE CONSTRUÇÃO E DEMOLIÇÃO LTDA – EPP</t>
  </si>
  <si>
    <t xml:space="preserve">Contratação de empresa especializada para execução de serviços em muros de contenção, desmonte de rocha e obras complementares no âmbito do Município de Florianópolis/SC, em decorrência do decreto n° 24.475 de 30 de novembro de 2022, nos bairros Trindade, Ribeirão da Ilha, Monte Verde, Jurerê, Rio Vermelho e José Mendes. </t>
  </si>
  <si>
    <t>583/SMI/2019</t>
  </si>
  <si>
    <t>SETEP CONSTRUÇÕES S.A</t>
  </si>
  <si>
    <t>Execução da Pavimentação e Qualificação de vias - Rua Leonel Pereira - Cachoeira do Bom Jesus – Florianópolis/SC</t>
  </si>
  <si>
    <t>64 – 80</t>
  </si>
  <si>
    <t xml:space="preserve">Termo  de Recebimento Definitivo de Obra – em 28/06/2023 </t>
  </si>
  <si>
    <t>0503/SMI/2022</t>
  </si>
  <si>
    <t>Execução de Pavimentação e Drenagem da Travessa Capim Capuã, Travessa Caraguatá e Servidão Jardim dos Girassóis - Campeche - Florianópolis/SC. Aprox 573mts</t>
  </si>
  <si>
    <t>402  - 80</t>
  </si>
  <si>
    <t>ATAS</t>
  </si>
  <si>
    <t>ASSINATURA</t>
  </si>
  <si>
    <t>PUBLICAÇÃO</t>
  </si>
  <si>
    <t>ADITIVOS CONTRATUAIS</t>
  </si>
  <si>
    <t>ADITIVO - DSLC</t>
  </si>
  <si>
    <t>FISCAIS DE CONTRATOS</t>
  </si>
  <si>
    <t>ADITIVO - ASSINATURA</t>
  </si>
  <si>
    <t>ADITIVO - PUBLICAÇÃO</t>
  </si>
  <si>
    <t>Adriano Marques</t>
  </si>
  <si>
    <t>ESCLARECIMENTO</t>
  </si>
  <si>
    <t>CORREÇÃO</t>
  </si>
  <si>
    <t>aline.smi@pmf.sc.gov.br</t>
  </si>
  <si>
    <t>amarildoforte@hotmail.com</t>
  </si>
  <si>
    <t>ORIGEM DO CONTRATO</t>
  </si>
  <si>
    <t>Américo Pescador</t>
  </si>
  <si>
    <t>99999-6349</t>
  </si>
  <si>
    <t>Americo.pescador@pmf.sc.gov.br</t>
  </si>
  <si>
    <t>99911-2970</t>
  </si>
  <si>
    <t>anacostalunga@gmail.com</t>
  </si>
  <si>
    <t>Bruno Vieria Luiz</t>
  </si>
  <si>
    <t>99980-0392</t>
  </si>
  <si>
    <t>carlosferrari.smi@pmf.sc.gov.br</t>
  </si>
  <si>
    <t>Carlos Freiberger Fernandes</t>
  </si>
  <si>
    <t>Daniel Fernandes</t>
  </si>
  <si>
    <t>99911-6127</t>
  </si>
  <si>
    <t>99994-9015</t>
  </si>
  <si>
    <t>erickmartins.comcap@pmf.sc.gov.br</t>
  </si>
  <si>
    <t>99169-0628</t>
  </si>
  <si>
    <t>frederico.dacoregio@pmf.sc.gov.br</t>
  </si>
  <si>
    <t>Gilson João de Oliveira</t>
  </si>
  <si>
    <t>98424-3939</t>
  </si>
  <si>
    <t xml:space="preserve">isabela.smi@pmf.sc.gov.br </t>
  </si>
  <si>
    <t>izabelcristinajs@gmail.com.br</t>
  </si>
  <si>
    <t>99823-2183</t>
  </si>
  <si>
    <t>jeangrimm.smi@pmf.sc.gov.br</t>
  </si>
  <si>
    <t>99152-6928</t>
  </si>
  <si>
    <t>marcomoser.smi@pmf.sc.gov.br</t>
  </si>
  <si>
    <t>Marco Aurelio Sacenti</t>
  </si>
  <si>
    <t>Maurício Santos Largura</t>
  </si>
  <si>
    <t xml:space="preserve">Nazareno José Gasperi </t>
  </si>
  <si>
    <t>Pablo Rodrigo Colombo</t>
  </si>
  <si>
    <t>99972-2655</t>
  </si>
  <si>
    <t>colombo.smma@pmf.sc.gov.br</t>
  </si>
  <si>
    <t>paulosouzamachado@hotmail.com</t>
  </si>
  <si>
    <t>99981-1833</t>
  </si>
  <si>
    <t>sversutti.smi@pmf.sc.gov.br</t>
  </si>
  <si>
    <t>Rafael Flores da Cunha</t>
  </si>
  <si>
    <t>99808-2466</t>
  </si>
  <si>
    <t>rafaelflores.smi@pmf.sc.gov.br</t>
  </si>
  <si>
    <t>98837-5888</t>
  </si>
  <si>
    <t>rafaelhahne.smi@pmf.sc.gov.br</t>
  </si>
  <si>
    <t>99119-2210</t>
  </si>
  <si>
    <t>ricardojunckes.smi@pmf.sc.gov.br</t>
  </si>
  <si>
    <t>Ricardo Miguel Voss</t>
  </si>
  <si>
    <t>99911-4125</t>
  </si>
  <si>
    <t xml:space="preserve">ricardovoss.smi@pmf.sc.gov.br </t>
  </si>
  <si>
    <t>ricardo.smi@pmf.sc.gov.br</t>
  </si>
  <si>
    <t>99617-8715</t>
  </si>
  <si>
    <t>99108-2032</t>
  </si>
  <si>
    <t>rodrigo.smi@pmf.sc.gov.br</t>
  </si>
  <si>
    <t>Rogério Miranda</t>
  </si>
  <si>
    <t>99976-7536
99808-2466</t>
  </si>
  <si>
    <t>Telmo Vinicio Honorato</t>
  </si>
  <si>
    <t xml:space="preserve">Thiago Martins Elias </t>
  </si>
  <si>
    <t>thiago.comcap@pmf.sc.gov.br</t>
  </si>
  <si>
    <t>Thiago Teixeira</t>
  </si>
  <si>
    <t>tiago.smi@pmf.sc.gov.br</t>
  </si>
  <si>
    <t>Ulisses  Laureano Bianchini</t>
  </si>
  <si>
    <t>Wilson Casian Lopes</t>
  </si>
  <si>
    <t>Zalmir Manoel de Abreu</t>
  </si>
  <si>
    <t>(48) 99989-3577</t>
  </si>
  <si>
    <t>marcela.smpu@pmf.sc.gov.br</t>
  </si>
  <si>
    <t>Aquisição de BOTAS TÁTICAS para uso dos agentes no exercício das atividades laborais da Guarda Municipal de Florianópolis/SC</t>
  </si>
  <si>
    <t>Pavimentação e Drenagem das Ruas Tulípas vermelhas e Servidão das Gérberas - Rio Vermelho. Aprox 2.032 mts</t>
  </si>
  <si>
    <t>Execução da pavimentação da Estrada Francisco Thomas dos Santos - Açores - Florianópolis/Scaprox .595 mts</t>
  </si>
  <si>
    <t>Contratação de empresa especializada para execução da pavimentação da Servidão Martinho Manoel da Silveira – Rio Vermelho- Florianópolis/sc aprox 700mts</t>
  </si>
  <si>
    <t>Execução do projeto de ligação entre a Rodovia Virgílio Várzea e Rua do Lamin (Rua das Goiabas) e Implantação de Ponte - Florianópolis/SC  Aprox 1.060 mts</t>
  </si>
  <si>
    <r>
      <rPr>
        <sz val="9"/>
        <color rgb="FF000000"/>
        <rFont val="Calibri"/>
        <family val="2"/>
        <charset val="1"/>
      </rPr>
      <t xml:space="preserve">Consultoria para execução de serviços técnicos especializados de Projeto Executivo de Engenharia e de Licenciamento Ambiental do </t>
    </r>
    <r>
      <rPr>
        <b/>
        <u/>
        <sz val="9"/>
        <color rgb="FF000000"/>
        <rFont val="Calibri"/>
        <family val="2"/>
        <charset val="1"/>
      </rPr>
      <t>Túnel do Morro da Lagoa da Conceição</t>
    </r>
  </si>
  <si>
    <t>Eduardo Hirt</t>
  </si>
  <si>
    <t>Execução da Pavimentação e Qualificação de vias - Rua Leonel Pereira - Cachoeira do Bom Jesus - Florianópolis/SC</t>
  </si>
  <si>
    <t>Revitalização da Servidão Maringá Rio Vermelhoaprox 1.0 km</t>
  </si>
  <si>
    <t>Ricardo Junkes</t>
  </si>
  <si>
    <t>Contenção contra o avanço do mar sobre a orla da praia do canto do Morro das Pedras - Florianópols/SC.</t>
  </si>
  <si>
    <r>
      <rPr>
        <sz val="9"/>
        <color rgb="FF000000"/>
        <rFont val="Calibri"/>
        <family val="2"/>
        <charset val="1"/>
      </rPr>
      <t>Contratação de empresa para execução da restauração e readequação da faixa de rolamento (lote 01) da Avenida Diomício Freitas – Carianos – Florianópolis/SC  Aprox</t>
    </r>
    <r>
      <rPr>
        <sz val="9"/>
        <color rgb="FFFF0000"/>
        <rFont val="Calibri"/>
        <family val="2"/>
        <charset val="1"/>
      </rPr>
      <t xml:space="preserve"> </t>
    </r>
    <r>
      <rPr>
        <sz val="9"/>
        <color rgb="FF000000"/>
        <rFont val="Calibri"/>
        <family val="2"/>
        <charset val="1"/>
      </rPr>
      <t>2.429 mts</t>
    </r>
  </si>
  <si>
    <t xml:space="preserve">Contratação  de empresa especializada para execução da restauração e adequação da calçada  (Lote 02) da Avenida Diomício Freitas – Carianos – Florianópolis/SC </t>
  </si>
  <si>
    <t xml:space="preserve">Rodrigo Batschauer </t>
  </si>
  <si>
    <t>411/SMTI/2023</t>
  </si>
  <si>
    <r>
      <rPr>
        <b/>
        <sz val="9"/>
        <color rgb="FF000000"/>
        <rFont val="Calibri"/>
        <family val="2"/>
        <charset val="1"/>
      </rPr>
      <t xml:space="preserve">LOTE 01: </t>
    </r>
    <r>
      <rPr>
        <sz val="9"/>
        <color rgb="FF000000"/>
        <rFont val="Calibri"/>
        <family val="2"/>
        <charset val="1"/>
      </rPr>
      <t xml:space="preserve">Contratação de empresa especializada para execução de obras/ serviços de engenharia: </t>
    </r>
    <r>
      <rPr>
        <b/>
        <sz val="9"/>
        <color rgb="FF000000"/>
        <rFont val="Calibri"/>
        <family val="2"/>
        <charset val="1"/>
      </rPr>
      <t>PAVIMENTAÇÃO e DRENAGEM</t>
    </r>
    <r>
      <rPr>
        <sz val="9"/>
        <color rgb="FF000000"/>
        <rFont val="Calibri"/>
        <family val="2"/>
        <charset val="1"/>
      </rPr>
      <t xml:space="preserve"> da Servidão Três Marias, nos Ingleses, Município de Florianópolis/SC.  </t>
    </r>
  </si>
  <si>
    <t>S D M COMÉRCIO E MONTAGEM DE COMPONENTES ELETRÔNICOS LTDA – EPP</t>
  </si>
  <si>
    <t>Robson Camilao de Azeveo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</si>
</sst>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m/yyyy"/>
    <numFmt numFmtId="165" formatCode="&quot;R$ &quot;#,##0.00;[Red]&quot;R$ &quot;#,##0.00"/>
    <numFmt numFmtId="166" formatCode="[$R$-416]\ #,##0.00;[Red]\-[$R$-416]\ #,##0.00"/>
    <numFmt numFmtId="167" formatCode="0;[Red]0"/>
    <numFmt numFmtId="168" formatCode="dd/mm/yy"/>
    <numFmt numFmtId="169" formatCode="&quot;R$ &quot;#,##0.00"/>
  </numFmts>
  <fonts count="21" x14ac:knownFonts="1">
    <font>
      <sz val="11"/>
      <color rgb="FF000000"/>
      <name val="Calibri"/>
      <family val="2"/>
      <charset val="1"/>
    </font>
    <font>
      <b/>
      <sz val="8"/>
      <color rgb="FF000000"/>
      <name val="Calibri"/>
      <family val="2"/>
      <charset val="1"/>
    </font>
    <font>
      <sz val="8"/>
      <color rgb="FF000000"/>
      <name val="Calibri"/>
      <family val="2"/>
      <charset val="1"/>
    </font>
    <font>
      <b/>
      <sz val="12"/>
      <name val="Calibri"/>
      <family val="2"/>
      <charset val="1"/>
    </font>
    <font>
      <b/>
      <sz val="8"/>
      <name val="Calibri"/>
      <family val="2"/>
      <charset val="1"/>
    </font>
    <font>
      <sz val="8"/>
      <color rgb="FF000000"/>
      <name val="Calibri"/>
      <family val="2"/>
    </font>
    <font>
      <b/>
      <u/>
      <sz val="8"/>
      <color rgb="FF000000"/>
      <name val="Calibri"/>
      <family val="2"/>
      <charset val="1"/>
    </font>
    <font>
      <sz val="8"/>
      <name val="Calibri"/>
      <family val="2"/>
      <charset val="1"/>
    </font>
    <font>
      <sz val="8"/>
      <color rgb="FFFF0000"/>
      <name val="Calibri"/>
      <family val="2"/>
      <charset val="1"/>
    </font>
    <font>
      <b/>
      <sz val="10"/>
      <color rgb="FF000000"/>
      <name val="Calibri"/>
      <family val="2"/>
      <charset val="1"/>
    </font>
    <font>
      <sz val="9"/>
      <color rgb="FF000000"/>
      <name val="Segoe UI"/>
      <family val="2"/>
      <charset val="1"/>
    </font>
    <font>
      <b/>
      <sz val="8"/>
      <color rgb="FFFF0000"/>
      <name val="Calibri"/>
      <family val="2"/>
      <charset val="1"/>
    </font>
    <font>
      <sz val="8"/>
      <color rgb="FF000000"/>
      <name val="Cambria"/>
      <family val="1"/>
      <charset val="1"/>
    </font>
    <font>
      <sz val="8"/>
      <name val="Cambria"/>
      <family val="1"/>
      <charset val="1"/>
    </font>
    <font>
      <sz val="8"/>
      <name val="Calibri"/>
      <family val="1"/>
      <charset val="1"/>
    </font>
    <font>
      <sz val="9"/>
      <color rgb="FF000000"/>
      <name val="Calibri"/>
      <family val="2"/>
      <charset val="1"/>
    </font>
    <font>
      <sz val="14"/>
      <color rgb="FF000000"/>
      <name val="Calibri"/>
      <family val="2"/>
      <charset val="1"/>
    </font>
    <font>
      <b/>
      <sz val="9"/>
      <color rgb="FF000000"/>
      <name val="Calibri"/>
      <family val="2"/>
      <charset val="1"/>
    </font>
    <font>
      <sz val="15"/>
      <color rgb="FF000000"/>
      <name val="Calibri"/>
      <family val="2"/>
      <charset val="1"/>
    </font>
    <font>
      <b/>
      <u/>
      <sz val="9"/>
      <color rgb="FF000000"/>
      <name val="Calibri"/>
      <family val="2"/>
      <charset val="1"/>
    </font>
    <font>
      <sz val="9"/>
      <color rgb="FFFF0000"/>
      <name val="Calibri"/>
      <family val="2"/>
      <charset val="1"/>
    </font>
  </fonts>
  <fills count="8">
    <fill>
      <patternFill patternType="none"/>
    </fill>
    <fill>
      <patternFill patternType="gray125"/>
    </fill>
    <fill>
      <patternFill patternType="solid">
        <fgColor rgb="FFFFFFFF"/>
        <bgColor rgb="FFE2F0D9"/>
      </patternFill>
    </fill>
    <fill>
      <patternFill patternType="solid">
        <fgColor rgb="FFDEEBF7"/>
        <bgColor rgb="FFE2F0D9"/>
      </patternFill>
    </fill>
    <fill>
      <patternFill patternType="solid">
        <fgColor rgb="FFBDD7EE"/>
        <bgColor rgb="FFC6EFCE"/>
      </patternFill>
    </fill>
    <fill>
      <patternFill patternType="solid">
        <fgColor rgb="FFBFBFBF"/>
        <bgColor rgb="FFBDD7EE"/>
      </patternFill>
    </fill>
    <fill>
      <patternFill patternType="solid">
        <fgColor rgb="FFDDD9C3"/>
        <bgColor rgb="FFDDE8CB"/>
      </patternFill>
    </fill>
    <fill>
      <patternFill patternType="solid">
        <fgColor rgb="FFDDE8CB"/>
        <bgColor rgb="FFE2F0D9"/>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149">
    <xf numFmtId="0" fontId="0" fillId="0" borderId="0" xfId="0"/>
    <xf numFmtId="0" fontId="15" fillId="0" borderId="1" xfId="0" applyFont="1" applyBorder="1" applyAlignment="1" applyProtection="1">
      <alignment horizontal="left" vertical="center" wrapText="1"/>
      <protection hidden="1"/>
    </xf>
    <xf numFmtId="0" fontId="17" fillId="2" borderId="1" xfId="0" applyFont="1" applyFill="1" applyBorder="1" applyAlignment="1" applyProtection="1">
      <alignment horizontal="left" vertical="center" wrapText="1"/>
      <protection hidden="1"/>
    </xf>
    <xf numFmtId="0" fontId="15" fillId="2" borderId="1" xfId="0" applyFont="1" applyFill="1" applyBorder="1" applyAlignment="1" applyProtection="1">
      <alignment horizontal="center" vertical="center" wrapText="1"/>
      <protection hidden="1"/>
    </xf>
    <xf numFmtId="0" fontId="15" fillId="2" borderId="1" xfId="0" applyFont="1" applyFill="1" applyBorder="1" applyAlignment="1" applyProtection="1">
      <alignment horizontal="left" vertical="center" wrapText="1"/>
      <protection hidden="1"/>
    </xf>
    <xf numFmtId="0" fontId="16" fillId="3" borderId="1" xfId="0" applyFont="1" applyFill="1" applyBorder="1" applyAlignment="1">
      <alignment horizontal="left"/>
    </xf>
    <xf numFmtId="0" fontId="2" fillId="2" borderId="0" xfId="0" applyFont="1" applyFill="1"/>
    <xf numFmtId="0" fontId="2" fillId="0" borderId="0" xfId="0" applyFont="1"/>
    <xf numFmtId="0" fontId="3" fillId="3" borderId="3" xfId="0" applyFont="1" applyFill="1" applyBorder="1" applyAlignment="1">
      <alignment horizontal="center" vertical="center"/>
    </xf>
    <xf numFmtId="0" fontId="3" fillId="4" borderId="1" xfId="0" applyFont="1" applyFill="1" applyBorder="1" applyAlignment="1">
      <alignment horizontal="center"/>
    </xf>
    <xf numFmtId="0" fontId="3" fillId="3" borderId="1" xfId="0" applyFont="1" applyFill="1" applyBorder="1" applyAlignment="1">
      <alignment horizontal="center" vertical="center"/>
    </xf>
    <xf numFmtId="0" fontId="3" fillId="3" borderId="1" xfId="0" applyFont="1" applyFill="1" applyBorder="1" applyAlignment="1">
      <alignment horizontal="center"/>
    </xf>
    <xf numFmtId="0" fontId="1" fillId="2" borderId="0" xfId="0" applyFont="1" applyFill="1"/>
    <xf numFmtId="0" fontId="2" fillId="2" borderId="0" xfId="0" applyFont="1" applyFill="1"/>
    <xf numFmtId="0" fontId="3" fillId="3" borderId="1" xfId="0" applyFont="1" applyFill="1" applyBorder="1" applyAlignment="1">
      <alignment horizontal="center"/>
    </xf>
    <xf numFmtId="0" fontId="3" fillId="3" borderId="1" xfId="0" applyFont="1" applyFill="1" applyBorder="1" applyAlignment="1">
      <alignment horizontal="center" vertical="center"/>
    </xf>
    <xf numFmtId="0" fontId="1" fillId="2" borderId="0" xfId="0" applyFont="1" applyFill="1" applyAlignment="1">
      <alignment horizontal="center" vertic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2" fillId="2" borderId="0" xfId="0" applyFont="1" applyFill="1" applyAlignment="1">
      <alignment horizontal="center" vertical="center"/>
    </xf>
    <xf numFmtId="0" fontId="1" fillId="2" borderId="1" xfId="0" applyFont="1" applyFill="1" applyBorder="1" applyAlignment="1" applyProtection="1">
      <alignment horizontal="center" vertical="center"/>
      <protection hidden="1"/>
    </xf>
    <xf numFmtId="0" fontId="2" fillId="2" borderId="1"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protection hidden="1"/>
    </xf>
    <xf numFmtId="0" fontId="2" fillId="2" borderId="1" xfId="0" applyFont="1" applyFill="1" applyBorder="1" applyAlignment="1" applyProtection="1">
      <alignment horizontal="left" vertical="center" wrapText="1"/>
      <protection hidden="1"/>
    </xf>
    <xf numFmtId="164" fontId="1" fillId="4" borderId="1" xfId="0" applyNumberFormat="1" applyFont="1" applyFill="1" applyBorder="1" applyAlignment="1" applyProtection="1">
      <alignment horizontal="center" vertical="center"/>
      <protection hidden="1"/>
    </xf>
    <xf numFmtId="164" fontId="2" fillId="2" borderId="1" xfId="0" applyNumberFormat="1" applyFont="1" applyFill="1" applyBorder="1" applyAlignment="1" applyProtection="1">
      <alignment horizontal="center" vertical="center"/>
      <protection hidden="1"/>
    </xf>
    <xf numFmtId="1" fontId="2" fillId="2" borderId="1" xfId="0" applyNumberFormat="1" applyFont="1" applyFill="1" applyBorder="1" applyAlignment="1" applyProtection="1">
      <alignment horizontal="center" vertical="center"/>
      <protection hidden="1"/>
    </xf>
    <xf numFmtId="165" fontId="1" fillId="5" borderId="1" xfId="0" applyNumberFormat="1" applyFont="1" applyFill="1" applyBorder="1" applyAlignment="1" applyProtection="1">
      <alignment horizontal="right" vertical="center"/>
      <protection hidden="1"/>
    </xf>
    <xf numFmtId="9" fontId="1" fillId="5" borderId="1" xfId="0" applyNumberFormat="1" applyFont="1" applyFill="1" applyBorder="1" applyAlignment="1" applyProtection="1">
      <alignment horizontal="center" vertical="center"/>
      <protection hidden="1"/>
    </xf>
    <xf numFmtId="0" fontId="2" fillId="2" borderId="1" xfId="0" applyFont="1" applyFill="1" applyBorder="1" applyAlignment="1" applyProtection="1">
      <alignment vertical="center"/>
      <protection hidden="1"/>
    </xf>
    <xf numFmtId="0" fontId="2" fillId="2" borderId="1" xfId="0" applyFont="1" applyFill="1" applyBorder="1" applyAlignment="1" applyProtection="1">
      <alignment vertical="center" wrapText="1"/>
      <protection hidden="1"/>
    </xf>
    <xf numFmtId="0" fontId="2" fillId="2" borderId="0" xfId="0" applyFont="1" applyFill="1" applyAlignment="1" applyProtection="1">
      <alignment vertical="center"/>
      <protection hidden="1"/>
    </xf>
    <xf numFmtId="0" fontId="4" fillId="2" borderId="1" xfId="0" applyFont="1" applyFill="1" applyBorder="1" applyAlignment="1" applyProtection="1">
      <alignment vertical="center" wrapText="1"/>
      <protection hidden="1"/>
    </xf>
    <xf numFmtId="166" fontId="1" fillId="5" borderId="1" xfId="0" applyNumberFormat="1" applyFont="1" applyFill="1" applyBorder="1" applyAlignment="1" applyProtection="1">
      <alignment horizontal="right" vertical="center"/>
      <protection hidden="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164" fontId="2" fillId="2" borderId="1" xfId="0" applyNumberFormat="1" applyFont="1" applyFill="1" applyBorder="1" applyAlignment="1">
      <alignment horizontal="center" vertical="center"/>
    </xf>
    <xf numFmtId="167" fontId="2" fillId="2" borderId="1" xfId="0" applyNumberFormat="1" applyFont="1" applyFill="1" applyBorder="1" applyAlignment="1">
      <alignment horizontal="center" vertical="center"/>
    </xf>
    <xf numFmtId="168" fontId="1" fillId="4" borderId="1" xfId="0" applyNumberFormat="1" applyFont="1" applyFill="1" applyBorder="1" applyAlignment="1">
      <alignment horizontal="center" vertical="center"/>
    </xf>
    <xf numFmtId="168" fontId="2" fillId="2" borderId="1" xfId="0" applyNumberFormat="1" applyFont="1" applyFill="1" applyBorder="1" applyAlignment="1">
      <alignment horizontal="center" vertical="center"/>
    </xf>
    <xf numFmtId="166" fontId="1" fillId="5" borderId="1" xfId="0" applyNumberFormat="1" applyFont="1" applyFill="1" applyBorder="1" applyAlignment="1">
      <alignment horizontal="center" vertical="center"/>
    </xf>
    <xf numFmtId="166" fontId="1" fillId="5" borderId="1" xfId="0" applyNumberFormat="1" applyFont="1" applyFill="1" applyBorder="1" applyAlignment="1">
      <alignment horizontal="right" vertical="center"/>
    </xf>
    <xf numFmtId="0" fontId="2" fillId="6" borderId="0" xfId="0" applyFont="1" applyFill="1" applyAlignment="1">
      <alignment horizontal="center" vertical="center"/>
    </xf>
    <xf numFmtId="0" fontId="2" fillId="2" borderId="1" xfId="0" applyFont="1" applyFill="1" applyBorder="1" applyAlignment="1" applyProtection="1">
      <alignment vertical="top" wrapText="1"/>
      <protection hidden="1"/>
    </xf>
    <xf numFmtId="0" fontId="2" fillId="2" borderId="1" xfId="0" applyFont="1" applyFill="1" applyBorder="1" applyAlignment="1" applyProtection="1">
      <alignment wrapText="1"/>
      <protection hidden="1"/>
    </xf>
    <xf numFmtId="0" fontId="1" fillId="0" borderId="1" xfId="0" applyFont="1" applyBorder="1" applyAlignment="1" applyProtection="1">
      <alignment horizontal="center" vertical="center"/>
      <protection hidden="1"/>
    </xf>
    <xf numFmtId="0" fontId="1" fillId="2" borderId="1" xfId="0" applyFont="1" applyFill="1" applyBorder="1" applyAlignment="1" applyProtection="1">
      <alignment vertical="center" wrapText="1"/>
      <protection hidden="1"/>
    </xf>
    <xf numFmtId="0" fontId="2" fillId="0" borderId="1"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protection hidden="1"/>
    </xf>
    <xf numFmtId="0" fontId="2" fillId="0" borderId="1" xfId="0" applyFont="1" applyBorder="1" applyAlignment="1" applyProtection="1">
      <alignment horizontal="left" vertical="center" wrapText="1"/>
      <protection hidden="1"/>
    </xf>
    <xf numFmtId="164" fontId="2" fillId="0" borderId="1" xfId="0" applyNumberFormat="1" applyFont="1" applyBorder="1" applyAlignment="1" applyProtection="1">
      <alignment horizontal="center" vertical="center"/>
      <protection hidden="1"/>
    </xf>
    <xf numFmtId="0" fontId="2" fillId="0" borderId="1" xfId="0" applyFont="1" applyBorder="1" applyAlignment="1" applyProtection="1">
      <alignment vertical="center"/>
      <protection hidden="1"/>
    </xf>
    <xf numFmtId="1" fontId="2" fillId="0" borderId="1" xfId="0" applyNumberFormat="1" applyFont="1" applyBorder="1" applyAlignment="1" applyProtection="1">
      <alignment horizontal="center" vertical="center"/>
      <protection hidden="1"/>
    </xf>
    <xf numFmtId="0" fontId="1" fillId="0" borderId="1" xfId="0" applyFont="1" applyBorder="1" applyAlignment="1" applyProtection="1">
      <alignment vertical="center" wrapText="1"/>
      <protection hidden="1"/>
    </xf>
    <xf numFmtId="165" fontId="1" fillId="5" borderId="1" xfId="0" applyNumberFormat="1" applyFont="1" applyFill="1" applyBorder="1" applyAlignment="1" applyProtection="1">
      <alignment horizontal="right" vertical="center" wrapText="1"/>
      <protection hidden="1"/>
    </xf>
    <xf numFmtId="168" fontId="1" fillId="4" borderId="1" xfId="0" applyNumberFormat="1" applyFont="1" applyFill="1" applyBorder="1" applyAlignment="1" applyProtection="1">
      <alignment horizontal="center" vertical="center"/>
      <protection hidden="1"/>
    </xf>
    <xf numFmtId="168" fontId="2" fillId="0" borderId="1" xfId="0" applyNumberFormat="1" applyFont="1" applyBorder="1" applyAlignment="1" applyProtection="1">
      <alignment horizontal="center" vertical="center"/>
      <protection hidden="1"/>
    </xf>
    <xf numFmtId="0" fontId="2" fillId="7" borderId="1" xfId="0" applyFont="1" applyFill="1" applyBorder="1" applyAlignment="1" applyProtection="1">
      <alignment horizontal="center" vertical="center"/>
      <protection hidden="1"/>
    </xf>
    <xf numFmtId="166" fontId="1" fillId="5" borderId="1" xfId="0" applyNumberFormat="1"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1" fillId="2" borderId="2" xfId="0" applyFont="1" applyFill="1" applyBorder="1" applyAlignment="1" applyProtection="1">
      <alignment horizontal="center" vertical="center"/>
      <protection hidden="1"/>
    </xf>
    <xf numFmtId="0" fontId="2" fillId="2" borderId="2" xfId="0" applyFont="1" applyFill="1" applyBorder="1" applyAlignment="1" applyProtection="1">
      <alignment horizontal="left" vertical="center" wrapText="1"/>
      <protection hidden="1"/>
    </xf>
    <xf numFmtId="0" fontId="2" fillId="2" borderId="2"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protection hidden="1"/>
    </xf>
    <xf numFmtId="164" fontId="1" fillId="4" borderId="2" xfId="0" applyNumberFormat="1" applyFont="1" applyFill="1" applyBorder="1" applyAlignment="1" applyProtection="1">
      <alignment horizontal="center" vertical="center"/>
      <protection hidden="1"/>
    </xf>
    <xf numFmtId="164" fontId="2" fillId="2" borderId="2" xfId="0" applyNumberFormat="1" applyFont="1" applyFill="1" applyBorder="1" applyAlignment="1" applyProtection="1">
      <alignment horizontal="center" vertical="center"/>
      <protection hidden="1"/>
    </xf>
    <xf numFmtId="165" fontId="1" fillId="5" borderId="2" xfId="0" applyNumberFormat="1" applyFont="1" applyFill="1" applyBorder="1" applyAlignment="1" applyProtection="1">
      <alignment horizontal="right" vertical="center"/>
      <protection hidden="1"/>
    </xf>
    <xf numFmtId="0" fontId="1" fillId="2" borderId="1" xfId="0" applyFont="1" applyFill="1" applyBorder="1" applyAlignment="1" applyProtection="1">
      <alignment horizontal="left" vertical="center" wrapText="1"/>
      <protection hidden="1"/>
    </xf>
    <xf numFmtId="165" fontId="9" fillId="3" borderId="3" xfId="0" applyNumberFormat="1" applyFont="1" applyFill="1" applyBorder="1" applyAlignment="1" applyProtection="1">
      <alignment horizontal="center" vertical="center"/>
      <protection hidden="1"/>
    </xf>
    <xf numFmtId="0" fontId="2" fillId="2" borderId="0" xfId="0" applyFont="1" applyFill="1" applyAlignment="1">
      <alignment vertical="center"/>
    </xf>
    <xf numFmtId="0" fontId="3" fillId="3" borderId="1" xfId="0" applyFont="1" applyFill="1" applyBorder="1" applyAlignment="1">
      <alignment vertical="center"/>
    </xf>
    <xf numFmtId="0" fontId="3" fillId="4" borderId="1" xfId="0" applyFont="1" applyFill="1" applyBorder="1" applyAlignment="1">
      <alignment vertic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1" fillId="2" borderId="1" xfId="0" applyFont="1" applyFill="1" applyBorder="1" applyAlignment="1">
      <alignment vertical="center"/>
    </xf>
    <xf numFmtId="0" fontId="2" fillId="2" borderId="1" xfId="0" applyFont="1" applyFill="1" applyBorder="1" applyAlignment="1">
      <alignment vertical="center"/>
    </xf>
    <xf numFmtId="0" fontId="2" fillId="2" borderId="1" xfId="0" applyFont="1" applyFill="1" applyBorder="1" applyAlignment="1">
      <alignment vertical="center" wrapText="1"/>
    </xf>
    <xf numFmtId="164" fontId="2" fillId="2" borderId="1" xfId="0" applyNumberFormat="1" applyFont="1" applyFill="1" applyBorder="1" applyAlignment="1">
      <alignment vertical="center"/>
    </xf>
    <xf numFmtId="167" fontId="2" fillId="2" borderId="1" xfId="0" applyNumberFormat="1" applyFont="1" applyFill="1" applyBorder="1" applyAlignment="1">
      <alignment vertical="center"/>
    </xf>
    <xf numFmtId="169" fontId="2" fillId="2" borderId="1" xfId="0" applyNumberFormat="1" applyFont="1" applyFill="1" applyBorder="1" applyAlignment="1">
      <alignment vertical="center"/>
    </xf>
    <xf numFmtId="0" fontId="12" fillId="2" borderId="1" xfId="0" applyFont="1" applyFill="1" applyBorder="1" applyAlignment="1">
      <alignment vertical="center"/>
    </xf>
    <xf numFmtId="164" fontId="2" fillId="0" borderId="1" xfId="0" applyNumberFormat="1" applyFont="1" applyBorder="1"/>
    <xf numFmtId="166" fontId="2" fillId="2" borderId="1" xfId="0" applyNumberFormat="1" applyFont="1" applyFill="1" applyBorder="1" applyAlignment="1">
      <alignment horizontal="right" vertical="center"/>
    </xf>
    <xf numFmtId="0" fontId="2" fillId="0" borderId="0" xfId="0" applyFont="1"/>
    <xf numFmtId="0" fontId="2" fillId="0" borderId="0" xfId="0" applyFont="1" applyAlignment="1">
      <alignment horizontal="left"/>
    </xf>
    <xf numFmtId="168" fontId="2" fillId="0" borderId="0" xfId="0" applyNumberFormat="1" applyFont="1"/>
    <xf numFmtId="0" fontId="2" fillId="0" borderId="0" xfId="0" applyFont="1" applyAlignment="1">
      <alignment horizontal="right"/>
    </xf>
    <xf numFmtId="10" fontId="2" fillId="0" borderId="0" xfId="0" applyNumberFormat="1" applyFont="1"/>
    <xf numFmtId="4" fontId="2" fillId="0" borderId="0" xfId="0" applyNumberFormat="1" applyFont="1"/>
    <xf numFmtId="0" fontId="2" fillId="0" borderId="0" xfId="0" applyFont="1" applyAlignment="1">
      <alignment wrapText="1"/>
    </xf>
    <xf numFmtId="0" fontId="2" fillId="0" borderId="0" xfId="0" applyFont="1" applyAlignment="1">
      <alignment horizontal="left" wrapText="1"/>
    </xf>
    <xf numFmtId="168" fontId="2" fillId="0" borderId="0" xfId="0" applyNumberFormat="1" applyFont="1" applyAlignment="1">
      <alignment wrapText="1"/>
    </xf>
    <xf numFmtId="10" fontId="2" fillId="0" borderId="0" xfId="0" applyNumberFormat="1" applyFont="1" applyAlignment="1">
      <alignment wrapText="1"/>
    </xf>
    <xf numFmtId="0" fontId="2" fillId="0" borderId="1" xfId="0" applyFont="1" applyBorder="1"/>
    <xf numFmtId="0" fontId="2" fillId="0" borderId="1" xfId="0" applyFont="1" applyBorder="1" applyAlignment="1">
      <alignment horizontal="left"/>
    </xf>
    <xf numFmtId="168" fontId="2" fillId="0" borderId="1" xfId="0" applyNumberFormat="1" applyFont="1" applyBorder="1"/>
    <xf numFmtId="0" fontId="2" fillId="0" borderId="1" xfId="0" applyFont="1" applyBorder="1" applyAlignment="1">
      <alignment horizontal="right"/>
    </xf>
    <xf numFmtId="10" fontId="2" fillId="0" borderId="1" xfId="0" applyNumberFormat="1" applyFont="1" applyBorder="1"/>
    <xf numFmtId="4" fontId="2" fillId="0" borderId="1" xfId="0" applyNumberFormat="1" applyFont="1" applyBorder="1"/>
    <xf numFmtId="165" fontId="2" fillId="0" borderId="1" xfId="0" applyNumberFormat="1" applyFont="1" applyBorder="1"/>
    <xf numFmtId="0" fontId="2" fillId="0" borderId="1" xfId="0" applyFont="1" applyBorder="1" applyAlignment="1">
      <alignment horizontal="right" vertical="center" wrapText="1"/>
    </xf>
    <xf numFmtId="0" fontId="2" fillId="0" borderId="1" xfId="0" applyFont="1" applyBorder="1" applyAlignment="1">
      <alignment horizontal="right" vertical="top" wrapText="1"/>
    </xf>
    <xf numFmtId="0" fontId="2" fillId="2" borderId="1" xfId="0" applyFont="1" applyFill="1" applyBorder="1" applyAlignment="1" applyProtection="1">
      <alignment horizontal="left" vertical="center"/>
      <protection hidden="1"/>
    </xf>
    <xf numFmtId="0" fontId="2" fillId="2" borderId="1" xfId="0" applyFont="1" applyFill="1" applyBorder="1" applyAlignment="1" applyProtection="1">
      <alignment horizontal="right" vertical="center" wrapText="1"/>
      <protection hidden="1"/>
    </xf>
    <xf numFmtId="0" fontId="2" fillId="2" borderId="1" xfId="0" applyFont="1" applyFill="1" applyBorder="1" applyProtection="1">
      <protection hidden="1"/>
    </xf>
    <xf numFmtId="164" fontId="2" fillId="2" borderId="1" xfId="0" applyNumberFormat="1" applyFont="1" applyFill="1" applyBorder="1" applyAlignment="1" applyProtection="1">
      <alignment horizontal="right"/>
      <protection hidden="1"/>
    </xf>
    <xf numFmtId="164" fontId="2" fillId="2" borderId="1" xfId="0" applyNumberFormat="1" applyFont="1" applyFill="1" applyBorder="1" applyAlignment="1" applyProtection="1">
      <alignment horizontal="right" wrapText="1"/>
      <protection hidden="1"/>
    </xf>
    <xf numFmtId="0" fontId="2" fillId="2" borderId="1" xfId="0" applyFont="1" applyFill="1" applyBorder="1" applyAlignment="1" applyProtection="1">
      <alignment horizontal="right" wrapText="1"/>
      <protection hidden="1"/>
    </xf>
    <xf numFmtId="4" fontId="2" fillId="2" borderId="1" xfId="0" applyNumberFormat="1" applyFont="1" applyFill="1" applyBorder="1" applyProtection="1">
      <protection hidden="1"/>
    </xf>
    <xf numFmtId="168" fontId="2" fillId="2" borderId="1" xfId="0" applyNumberFormat="1" applyFont="1" applyFill="1" applyBorder="1" applyAlignment="1" applyProtection="1">
      <alignment horizontal="right"/>
      <protection hidden="1"/>
    </xf>
    <xf numFmtId="166" fontId="2" fillId="0" borderId="1" xfId="0" applyNumberFormat="1" applyFont="1" applyBorder="1"/>
    <xf numFmtId="1" fontId="2" fillId="2" borderId="1" xfId="0" applyNumberFormat="1" applyFont="1" applyFill="1" applyBorder="1" applyAlignment="1" applyProtection="1">
      <alignment horizontal="right" vertical="center"/>
      <protection hidden="1"/>
    </xf>
    <xf numFmtId="0" fontId="2" fillId="2" borderId="1" xfId="0" applyFont="1" applyFill="1" applyBorder="1" applyAlignment="1" applyProtection="1">
      <alignment horizontal="center"/>
      <protection hidden="1"/>
    </xf>
    <xf numFmtId="0" fontId="2" fillId="2" borderId="1" xfId="0" applyFont="1" applyFill="1" applyBorder="1" applyAlignment="1" applyProtection="1">
      <alignment horizontal="left"/>
      <protection hidden="1"/>
    </xf>
    <xf numFmtId="0" fontId="2" fillId="0" borderId="1" xfId="0" applyFont="1" applyBorder="1" applyAlignment="1">
      <alignment horizontal="center"/>
    </xf>
    <xf numFmtId="0" fontId="2" fillId="2" borderId="1" xfId="0" applyFont="1" applyFill="1" applyBorder="1" applyAlignment="1" applyProtection="1">
      <alignment horizontal="right"/>
      <protection hidden="1"/>
    </xf>
    <xf numFmtId="165" fontId="2" fillId="2" borderId="1" xfId="0" applyNumberFormat="1" applyFont="1" applyFill="1" applyBorder="1" applyAlignment="1" applyProtection="1">
      <alignment horizontal="center"/>
      <protection hidden="1"/>
    </xf>
    <xf numFmtId="10" fontId="2" fillId="2" borderId="1" xfId="0" applyNumberFormat="1" applyFont="1" applyFill="1" applyBorder="1" applyAlignment="1" applyProtection="1">
      <alignment horizontal="right"/>
      <protection hidden="1"/>
    </xf>
    <xf numFmtId="0" fontId="2" fillId="2" borderId="1" xfId="0" applyFont="1" applyFill="1" applyBorder="1" applyAlignment="1" applyProtection="1">
      <alignment horizontal="center" wrapText="1"/>
      <protection hidden="1"/>
    </xf>
    <xf numFmtId="1" fontId="2" fillId="2" borderId="1" xfId="0" applyNumberFormat="1" applyFont="1" applyFill="1" applyBorder="1" applyAlignment="1" applyProtection="1">
      <alignment horizontal="right"/>
      <protection hidden="1"/>
    </xf>
    <xf numFmtId="164" fontId="2" fillId="2" borderId="1" xfId="0" applyNumberFormat="1" applyFont="1" applyFill="1" applyBorder="1" applyAlignment="1" applyProtection="1">
      <alignment horizontal="right" vertical="center"/>
      <protection hidden="1"/>
    </xf>
    <xf numFmtId="164" fontId="2" fillId="2" borderId="1" xfId="0" applyNumberFormat="1" applyFont="1" applyFill="1" applyBorder="1" applyAlignment="1" applyProtection="1">
      <alignment wrapText="1"/>
      <protection hidden="1"/>
    </xf>
    <xf numFmtId="165" fontId="2" fillId="2" borderId="1" xfId="0" applyNumberFormat="1" applyFont="1" applyFill="1" applyBorder="1" applyAlignment="1" applyProtection="1">
      <alignment horizontal="right"/>
      <protection hidden="1"/>
    </xf>
    <xf numFmtId="164" fontId="1" fillId="2" borderId="1" xfId="0" applyNumberFormat="1" applyFont="1" applyFill="1" applyBorder="1" applyAlignment="1" applyProtection="1">
      <alignment horizontal="right" wrapText="1"/>
      <protection hidden="1"/>
    </xf>
    <xf numFmtId="166" fontId="1" fillId="0" borderId="1" xfId="0" applyNumberFormat="1" applyFont="1" applyBorder="1"/>
    <xf numFmtId="10" fontId="1" fillId="0" borderId="1" xfId="0" applyNumberFormat="1" applyFont="1" applyBorder="1"/>
    <xf numFmtId="0" fontId="1" fillId="2" borderId="1" xfId="0" applyFont="1" applyFill="1" applyBorder="1" applyAlignment="1" applyProtection="1">
      <alignment horizontal="left" vertical="center"/>
      <protection hidden="1"/>
    </xf>
    <xf numFmtId="165" fontId="1" fillId="2" borderId="1" xfId="0" applyNumberFormat="1" applyFont="1" applyFill="1" applyBorder="1" applyAlignment="1" applyProtection="1">
      <alignment horizontal="right"/>
      <protection hidden="1"/>
    </xf>
    <xf numFmtId="0" fontId="1" fillId="2" borderId="0" xfId="0" applyFont="1" applyFill="1" applyAlignment="1">
      <alignment horizontal="center"/>
    </xf>
    <xf numFmtId="0" fontId="14" fillId="2" borderId="0" xfId="0" applyFont="1" applyFill="1"/>
    <xf numFmtId="0" fontId="2" fillId="2" borderId="0" xfId="0" applyFont="1" applyFill="1" applyAlignment="1">
      <alignment wrapText="1"/>
    </xf>
    <xf numFmtId="0" fontId="15" fillId="0" borderId="0" xfId="0" applyFont="1" applyAlignment="1">
      <alignment horizontal="left"/>
    </xf>
    <xf numFmtId="0" fontId="15" fillId="0" borderId="0" xfId="0" applyFont="1" applyAlignment="1">
      <alignment horizontal="center"/>
    </xf>
    <xf numFmtId="0" fontId="16" fillId="0" borderId="0" xfId="0" applyFont="1" applyAlignment="1">
      <alignment horizontal="left"/>
    </xf>
    <xf numFmtId="0" fontId="17" fillId="2" borderId="1" xfId="0" applyFont="1" applyFill="1" applyBorder="1" applyAlignment="1" applyProtection="1">
      <alignment horizontal="left" vertical="center"/>
      <protection hidden="1"/>
    </xf>
    <xf numFmtId="0" fontId="15" fillId="2" borderId="1" xfId="0" applyFont="1" applyFill="1" applyBorder="1" applyAlignment="1" applyProtection="1">
      <alignment horizontal="left" vertical="center"/>
      <protection hidden="1"/>
    </xf>
    <xf numFmtId="0" fontId="15" fillId="2" borderId="1" xfId="0" applyFont="1" applyFill="1" applyBorder="1" applyAlignment="1" applyProtection="1">
      <alignment horizontal="left" vertical="center" wrapText="1"/>
      <protection hidden="1"/>
    </xf>
    <xf numFmtId="0" fontId="15" fillId="2" borderId="1" xfId="0" applyFont="1" applyFill="1" applyBorder="1" applyAlignment="1" applyProtection="1">
      <alignment horizontal="center" vertical="center" wrapText="1"/>
      <protection hidden="1"/>
    </xf>
    <xf numFmtId="0" fontId="17" fillId="0" borderId="1" xfId="0" applyFont="1" applyBorder="1" applyAlignment="1" applyProtection="1">
      <alignment horizontal="left" vertical="center"/>
      <protection hidden="1"/>
    </xf>
    <xf numFmtId="0" fontId="18" fillId="0" borderId="0" xfId="0" applyFont="1" applyAlignment="1">
      <alignment horizontal="left"/>
    </xf>
    <xf numFmtId="0" fontId="15" fillId="0" borderId="1" xfId="0" applyFont="1" applyBorder="1" applyAlignment="1" applyProtection="1">
      <alignment horizontal="left" vertical="center"/>
      <protection hidden="1"/>
    </xf>
    <xf numFmtId="0" fontId="15" fillId="0" borderId="1" xfId="0" applyFont="1" applyBorder="1" applyAlignment="1" applyProtection="1">
      <alignment horizontal="left" vertical="center" wrapText="1"/>
      <protection hidden="1"/>
    </xf>
    <xf numFmtId="0" fontId="15" fillId="2" borderId="1" xfId="0" applyFont="1" applyFill="1" applyBorder="1" applyAlignment="1">
      <alignment horizontal="left" vertical="center"/>
    </xf>
    <xf numFmtId="0" fontId="15" fillId="2" borderId="1" xfId="0" applyFont="1" applyFill="1" applyBorder="1" applyAlignment="1">
      <alignment horizontal="left" vertical="center" wrapText="1"/>
    </xf>
  </cellXfs>
  <cellStyles count="1">
    <cellStyle name="Normal" xfId="0" builtinId="0"/>
  </cellStyles>
  <dxfs count="61">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sz val="11"/>
        <color rgb="FF000000"/>
        <name val="Calibri"/>
        <charset val="1"/>
      </font>
    </dxf>
    <dxf>
      <font>
        <color rgb="FF5B9BD5"/>
      </font>
      <fill>
        <patternFill>
          <bgColor rgb="FF4472C4"/>
        </patternFill>
      </fill>
    </dxf>
    <dxf>
      <font>
        <b/>
        <i val="0"/>
        <color rgb="FF002060"/>
      </font>
      <fill>
        <patternFill>
          <bgColor rgb="FF5B9BD5"/>
        </patternFill>
      </fill>
    </dxf>
    <dxf>
      <font>
        <b/>
        <i val="0"/>
        <color rgb="FFFFC000"/>
      </font>
      <fill>
        <patternFill>
          <bgColor rgb="FF806000"/>
        </patternFill>
      </fill>
    </dxf>
    <dxf>
      <font>
        <b/>
        <i val="0"/>
        <color rgb="FFBF9000"/>
      </font>
      <fill>
        <patternFill>
          <bgColor rgb="FFFFC000"/>
        </patternFill>
      </fill>
    </dxf>
    <dxf>
      <font>
        <color rgb="FF5B9BD5"/>
      </font>
      <fill>
        <patternFill>
          <bgColor rgb="FF4472C4"/>
        </patternFill>
      </fill>
    </dxf>
    <dxf>
      <font>
        <b/>
        <i val="0"/>
        <color rgb="FF002060"/>
      </font>
      <fill>
        <patternFill>
          <bgColor rgb="FF5B9BD5"/>
        </patternFill>
      </fill>
    </dxf>
    <dxf>
      <font>
        <b/>
        <i val="0"/>
        <color rgb="FFFFC000"/>
      </font>
      <fill>
        <patternFill>
          <bgColor rgb="FF806000"/>
        </patternFill>
      </fill>
    </dxf>
    <dxf>
      <font>
        <b/>
        <i val="0"/>
        <color rgb="FFBF9000"/>
      </font>
      <fill>
        <patternFill>
          <bgColor rgb="FFFFC000"/>
        </patternFill>
      </fill>
    </dxf>
    <dxf>
      <font>
        <b/>
        <i val="0"/>
        <color rgb="FF385724"/>
      </font>
      <fill>
        <patternFill>
          <bgColor rgb="FFE2F0D9"/>
        </patternFill>
      </fill>
    </dxf>
    <dxf>
      <font>
        <b/>
        <i val="0"/>
        <color rgb="FFFFFFFF"/>
      </font>
      <fill>
        <patternFill>
          <bgColor rgb="FF7030A0"/>
        </patternFill>
      </fill>
    </dxf>
    <dxf>
      <font>
        <color rgb="FF5B9BD5"/>
      </font>
      <fill>
        <patternFill>
          <bgColor rgb="FF4472C4"/>
        </patternFill>
      </fill>
    </dxf>
    <dxf>
      <font>
        <b/>
        <i val="0"/>
        <color rgb="FF002060"/>
      </font>
      <fill>
        <patternFill>
          <bgColor rgb="FF5B9BD5"/>
        </patternFill>
      </fill>
    </dxf>
    <dxf>
      <font>
        <b/>
        <i val="0"/>
        <color rgb="FFFFC000"/>
      </font>
      <fill>
        <patternFill>
          <bgColor rgb="FF806000"/>
        </patternFill>
      </fill>
    </dxf>
    <dxf>
      <font>
        <b/>
        <i val="0"/>
        <color rgb="FFBF9000"/>
      </font>
      <fill>
        <patternFill>
          <bgColor rgb="FFFFC000"/>
        </patternFill>
      </fill>
    </dxf>
    <dxf>
      <font>
        <color rgb="FF006100"/>
      </font>
      <fill>
        <patternFill>
          <bgColor rgb="FFC6EFCE"/>
        </patternFill>
      </fill>
    </dxf>
    <dxf>
      <font>
        <color rgb="FF9C0006"/>
      </font>
      <fill>
        <patternFill>
          <bgColor rgb="FFFFC7CE"/>
        </patternFill>
      </fill>
    </dxf>
    <dxf>
      <font>
        <b/>
        <i val="0"/>
        <color rgb="FFED7D31"/>
      </font>
      <fill>
        <patternFill>
          <bgColor rgb="FFFBE5D6"/>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indexedColors>
      <rgbColor rgb="FF000000"/>
      <rgbColor rgb="FFFFFFFF"/>
      <rgbColor rgb="FFFF0000"/>
      <rgbColor rgb="FF00FF00"/>
      <rgbColor rgb="FF0000FF"/>
      <rgbColor rgb="FFD4EA6B"/>
      <rgbColor rgb="FFFF00FF"/>
      <rgbColor rgb="FF00FFFF"/>
      <rgbColor rgb="FF9C0006"/>
      <rgbColor rgb="FF006100"/>
      <rgbColor rgb="FF000080"/>
      <rgbColor rgb="FF806000"/>
      <rgbColor rgb="FF800080"/>
      <rgbColor rgb="FF008080"/>
      <rgbColor rgb="FFBFBFBF"/>
      <rgbColor rgb="FF808080"/>
      <rgbColor rgb="FF5B9BD5"/>
      <rgbColor rgb="FF7030A0"/>
      <rgbColor rgb="FFE2F0D9"/>
      <rgbColor rgb="FFDEEBF7"/>
      <rgbColor rgb="FF660066"/>
      <rgbColor rgb="FFFF8080"/>
      <rgbColor rgb="FF0066CC"/>
      <rgbColor rgb="FFBDD7EE"/>
      <rgbColor rgb="FF000080"/>
      <rgbColor rgb="FFFF00FF"/>
      <rgbColor rgb="FFFFFF00"/>
      <rgbColor rgb="FF00FFFF"/>
      <rgbColor rgb="FF800080"/>
      <rgbColor rgb="FF800000"/>
      <rgbColor rgb="FF008080"/>
      <rgbColor rgb="FF0000FF"/>
      <rgbColor rgb="FF00CCFF"/>
      <rgbColor rgb="FFDDE8CB"/>
      <rgbColor rgb="FFC6EFCE"/>
      <rgbColor rgb="FFFFEB9C"/>
      <rgbColor rgb="FFDDD9C3"/>
      <rgbColor rgb="FFFBE5D6"/>
      <rgbColor rgb="FFCC99FF"/>
      <rgbColor rgb="FFFFC7CE"/>
      <rgbColor rgb="FF4472C4"/>
      <rgbColor rgb="FF33CCCC"/>
      <rgbColor rgb="FF99CC00"/>
      <rgbColor rgb="FFFFC000"/>
      <rgbColor rgb="FFBF9000"/>
      <rgbColor rgb="FFED7D31"/>
      <rgbColor rgb="FF666699"/>
      <rgbColor rgb="FF969696"/>
      <rgbColor rgb="FF002060"/>
      <rgbColor rgb="FF339966"/>
      <rgbColor rgb="FF003300"/>
      <rgbColor rgb="FF333300"/>
      <rgbColor rgb="FF9C5700"/>
      <rgbColor rgb="FF993366"/>
      <rgbColor rgb="FF333399"/>
      <rgbColor rgb="FF385724"/>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externalLink" Target="externalLinks/externalLink34.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76" Type="http://schemas.openxmlformats.org/officeDocument/2006/relationships/sharedStrings" Target="sharedStrings.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2" Type="http://schemas.openxmlformats.org/officeDocument/2006/relationships/worksheet" Target="worksheets/sheet2.xml"/><Relationship Id="rId16" Type="http://schemas.openxmlformats.org/officeDocument/2006/relationships/externalLink" Target="externalLinks/externalLink11.xml"/><Relationship Id="rId29" Type="http://schemas.openxmlformats.org/officeDocument/2006/relationships/externalLink" Target="externalLinks/externalLink24.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66" Type="http://schemas.openxmlformats.org/officeDocument/2006/relationships/externalLink" Target="externalLinks/externalLink61.xml"/><Relationship Id="rId7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 Id="rId57" Type="http://schemas.openxmlformats.org/officeDocument/2006/relationships/externalLink" Target="externalLinks/externalLink52.xml"/><Relationship Id="rId61" Type="http://schemas.openxmlformats.org/officeDocument/2006/relationships/externalLink" Target="externalLinks/externalLink56.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73" Type="http://schemas.openxmlformats.org/officeDocument/2006/relationships/externalLink" Target="externalLinks/externalLink68.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56" Type="http://schemas.openxmlformats.org/officeDocument/2006/relationships/externalLink" Target="externalLinks/externalLink51.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77" Type="http://schemas.openxmlformats.org/officeDocument/2006/relationships/calcChain" Target="calcChain.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59" Type="http://schemas.openxmlformats.org/officeDocument/2006/relationships/externalLink" Target="externalLinks/externalLink54.xml"/><Relationship Id="rId67" Type="http://schemas.openxmlformats.org/officeDocument/2006/relationships/externalLink" Target="externalLinks/externalLink62.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54" Type="http://schemas.openxmlformats.org/officeDocument/2006/relationships/externalLink" Target="externalLinks/externalLink49.xml"/><Relationship Id="rId62" Type="http://schemas.openxmlformats.org/officeDocument/2006/relationships/externalLink" Target="externalLinks/externalLink57.xml"/><Relationship Id="rId70" Type="http://schemas.openxmlformats.org/officeDocument/2006/relationships/externalLink" Target="externalLinks/externalLink65.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tivos/SMTI/2021/2021_0783_SMI_PAVICON/Medi&#231;&#227;o%20-%200783-SMI-202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tivos/SMTI/2021/2021_0993_SMI_Prosul/Medi&#231;&#227;o%20-%20993-SMI-202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tivos/SMTI/2022/2022_0833_SMI_Sat&#233;lite%20-%20PARQUE%20DE%20COQUEIROS/Medi&#231;&#227;o%20-833-SMI-202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tivos/SMTI/2022/2022_0823_SMI_Cejen/Medi&#231;&#227;o%20-%20823-SMI-202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Ativos/SMTI/2022/2022_0742_SMI_Pavicon/Medi&#231;&#227;o%20-%20742-SMI-202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Ativos/SMTI/2022/2022_0692_SMI_Prosul%20-%20Sotepa/Medi&#231;&#227;o%20-%20692-SMI-202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Ativos/SMTI/2022/2022_0678_SMI_Arruda/Medi&#231;&#227;o%20-%20678-SMI-202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Ativos/SMTI/2022/2022_0675_SMI_Penascal/Medi&#231;&#227;o%20-%20675%20-%20SMI-202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Ativos/SMTI/2022/2022_0502_SMI_Penascal%20Engenharia/Medi&#231;&#227;o%20-%20502-SMI-202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Ativos/SMTI/2022/2022_0501_SMI_STC%20Terraplanagem/Medi&#231;&#227;o%20-%20501-SMI-202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Ativos/SMTI/2022/2022_0496_SMI_Neves%20&amp;%20Goulart/Medi&#231;&#227;o%20-%20496-SMI-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tivos/SMTI/2022/2022_0696_SMI_Pavicon/Medi&#231;&#227;o%20-%20696-SMI-202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Ativos/SMTI/2022/2022_0418_SMI_Pavicon/Medi&#231;&#227;o%20-%20418%20-SMI-202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Ativos/SMTI/2022/2022_0364_SMI_STC/Medi&#231;&#227;o%20-%20364-SMI-202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Ativos/SMTI/2022/2022_0338_SMI_Planaterra/Medi&#231;&#245;es%20-%20338-SMI-202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Ativos/SMTI/2022/2022_0282_SMI_VogelSanger/Medi&#231;&#227;o%20-%20282-SMI-202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Ativos/SMTI/2022/2022_0276_SMI_Mla/Medi&#231;&#227;o%20-%20276-SMI-202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Ativos/SMTI/2022/2022_0273_SMI_STC/Medi&#231;&#227;o%20-%20273-SMI-202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Ativos/SMTI/2021/2021_0771_SMI_Prosul/Medi&#231;&#227;o%20-%20771-SMI-2021.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Ativos/SMTI/2022/2022_0824_SMI_Pavicon/Medi&#231;&#227;o%20-%20824-SMI-202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Ativos/SMTI/2022/2022_0818_SMI_Gente%20Seguradora%20S.A/Medi&#231;&#227;o%20-%20818-SMI-202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Ativos/SMTI/2022/2022_0978_SMI_DJP/Medi&#231;&#227;o%20-%20978-SMI-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tivos/SMTI/2018/2018_0974_SMI_Editora%20Noticias%20do%20Dia/Medi&#231;&#227;o%20-%20974-SMI-2018.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Ativos/SMTI/2022/2022_0914_SMI_Mosaico/Medi&#231;&#227;o%20-%20914-SMI-202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Ativos/SMTI/2022/2022_1055_SMI_Pavicon_ruas_ingleses/Medi&#231;&#227;o%20-%201055-SMI-202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Ativos/SMTI/2022/2022_0913_SMI_Flopaineis/Medi&#231;&#227;o%20-%20913-SMI-202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Ativos/SMTI/2022_0899_SMI_Pavicon/Medi&#231;&#227;o%20-%20899-SMI-2022.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Ativos/SMTI/2022/2022_1062_SMI_DJP/Medi&#231;&#227;o%20-%201062-SMI-202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Ativos/SMTI/2022/2022_1138_SMI_Litoral/Medi&#231;&#227;o%20-%201138-SMI-2023.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Ativos/SMTI/2022/2022_1146_SMI_HEFER/Medi&#231;&#227;o%20-%201146-SMI-20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Ativos/SMTI/2022/2022_1210_SMI_DJP/Medi&#231;&#227;o%20-%201210-SMI-2022.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Ativos/SMTI/2022/2022_1211_SMI_AMVT/Medi&#231;&#227;o%20-%201211%20%20-%20SMI%20-%202022.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Ativos/SMTI/2022/2022_1217_SMI_DJP/Medi&#231;&#227;o%20-%201217-SMI-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tivos/SMTI/2022/2022_0220_SMI_AMVT/Medi&#231;&#227;o%20-%20220-SMI-2022.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Ativos/SMTI/2022/2022_1219_SMI_Pavicon/Medi&#231;&#227;o%20-%201219-SMI-2022.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Ativos/SMTI/2022/2022_1220_SMI_%20Britagem/Medi&#231;&#227;o%20-%201220%20-%20SMI%20-%202022.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Ativos/SMTI/2023/2023_0007_SMTI_RED_ENERGY/Medi&#231;&#227;o%20-%2007%20-%20SMTI-2023.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Ativos/SMTI/2023/2023_0018_SMTI_RUHMO/Medi&#231;&#227;o%20-%2018-SMTI-2023.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Ativos/SMTI/2023/2023_0045_SMTI_SETEP/Medi&#231;&#227;o%20-%2045-SMTI-2023.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Ativos/SMTI/2023/2023_0020_SMTI_BRITAGEM/Medi&#231;&#227;o%20-%2020%20-%20SMTI-2023.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Ativos/SMTI/2023/2023_0025_SMTI_PAVICON/Medi&#231;&#227;o%20-%2025-SMTI-2023.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Ativos/SMTI/2023/2023_0041_SMTI_PAVICON/Medi&#231;&#245;es%20-%20041-SMTI-2023.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Ativos/SMTI/2023/2023_0042_SMTI_RUHMO/Med&#231;&#245;es%20-%20042-SMTI-2023.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Ativos/SMTI/2023/2023_0043_SMTI_PAVICON/Medi&#231;&#227;o%20-%20043-SMTI-20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tivos/SMTI/2022/2022_0278_SMI_Britagem/Medi&#231;&#227;o%20-%20278-SMI-2022.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Ativos/SMTI/2023/2023_0103_SMTI_GMC/Medi&#231;&#227;o%20-%20103-SMTI-2023.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Ativos/SMTI/2023/2023_0137_SMTI_RUHMO/Medi&#231;&#245;es%20-%20137-SMTI-2023.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Ativos/MOBILIDADE/2023_065_SMPIU_MORE/Medi&#231;&#227;o%20-%20065-SMPIU-2023.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Ativos/MOBILIDADE/2023_0185_SMTI_TECH%20GERENCIAMENTO/Medi&#231;&#227;o%20-%20085-SMTI-2023.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Ativos/MOBILIDADE/2023_0010_SMTI_AIALA%20SERVI&#199;E/Medi&#231;&#227;o%20-%2010-SMTI-2023.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Ativos/MOBILIDADE/2023_008_SMTI_DELTA%20COM&#201;RCIO%20DE%20EQUIPAMENTOS%20&#8211;/Medi&#231;&#227;o%20-%2008-SMTI-2023.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Ativos/MOBILIDADE/2023_0221_SMTI_WORD%20AM&#201;RICA/Medi&#231;&#227;o%20-%20221-SMTUI-2023.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Ativos/FMSB/2022_1102_FMSB_PROACTIVA/Medi&#231;&#227;o%20-%201102-FMSB-2022.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Ativos/SMTI/2023/2023_0172_SMTI_QUALIDADE/Medi&#231;&#227;o%20-%20172-SMTI-2023.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Ativos/MOBILIDADE/2023_009_SMTI_YNOV/Medi&#231;&#227;o%20-%20009-SMTI-2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tivos/SMTI/2019/2019_1127_SMI_Construmix/Medi&#231;&#227;o%20-%201127-SMI-2019.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Ativos/SMTI/2023/2023_0283_SMTI_TERRAPLEIN/Medi&#231;&#227;o%20-%20283-SMTI-2023.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Ativos/MOBILIDADE/2023_0220_SMTI_SULVALE/Medi&#231;&#227;o%20-%20220-SMTI-2023.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Ativos/SMTI/2022/2022_0289_SMI_%20Propav/Medi&#231;&#227;o%20-%20289-SMI-2022%2001.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Ativos/SMTI/2022/2022_0290_SMI_Britagem%20Vogelsanger/Medi&#231;&#227;o%20-%20290%20-%20SMI-2022.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Ativos/SMTI/2020/2020_0691_SMI_Pavicon/Medi&#231;&#227;o%20-%20691-SMI-2020.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Ativos/SMTI/2022/2022_0368_SMI_Britagem/Medi&#231;&#227;o%20-%20368-SMI-2022.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Ativos/SMTI/2022/2022_0341_SMI_Construcoes%20Schoroeder/Medi&#231;&#227;o%20-%20341-SMI-2022.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Ativos/SMTI/2022/2022_0221_SMI_AMVT/Medi&#231;&#227;o%20-%20221-SMI-2022.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Ativos/SMTI/2022/2022_1161_SMI_%20Britagem/Medi&#231;&#227;o%20-%201161-SMI-20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tivos/SMTI/2020/2020_1241_SMI_Arruda/Medi&#231;&#227;o%20-%201241-SMI-2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tivos/SMTI/2019/2019_1164_SMI_Setep/Medi&#231;&#227;o%20-%201164-SMI-20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tivos/SMTI/2022/2022_0999_SMI_DTA/Medi&#231;&#227;o%20-%20999-SMI-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5656455.0899999999</v>
          </cell>
        </row>
        <row r="32">
          <cell r="C32">
            <v>0.207263866419931</v>
          </cell>
        </row>
      </sheetData>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1392340.15</v>
          </cell>
        </row>
        <row r="32">
          <cell r="C32">
            <v>0.86108548837673404</v>
          </cell>
        </row>
      </sheetData>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2603074.66</v>
          </cell>
        </row>
        <row r="32">
          <cell r="C32">
            <v>0.38962671489398099</v>
          </cell>
        </row>
      </sheetData>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53204618.960000001</v>
          </cell>
        </row>
        <row r="32">
          <cell r="C32">
            <v>1.2346895713199999E-4</v>
          </cell>
        </row>
      </sheetData>
      <sheetData sheetId="1"/>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737512.38</v>
          </cell>
        </row>
        <row r="32">
          <cell r="C32">
            <v>0.351523256412475</v>
          </cell>
        </row>
      </sheetData>
      <sheetData sheetId="1"/>
      <sheetData sheetId="2"/>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7045342.0999999996</v>
          </cell>
        </row>
        <row r="32">
          <cell r="C32">
            <v>7.2371020408163345E-2</v>
          </cell>
        </row>
      </sheetData>
      <sheetData sheetId="1"/>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2922184.23</v>
          </cell>
        </row>
        <row r="32">
          <cell r="C32">
            <v>0.20145188483075899</v>
          </cell>
        </row>
      </sheetData>
      <sheetData sheetId="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22453046.309999999</v>
          </cell>
        </row>
        <row r="32">
          <cell r="C32">
            <v>0.215449582279268</v>
          </cell>
        </row>
      </sheetData>
      <sheetData sheetId="1"/>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-94099.1899999999</v>
          </cell>
        </row>
        <row r="32">
          <cell r="C32">
            <v>1.0286654829761299</v>
          </cell>
        </row>
      </sheetData>
      <sheetData sheetId="1"/>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992513.87</v>
          </cell>
        </row>
        <row r="32">
          <cell r="C32">
            <v>0.728656596324604</v>
          </cell>
        </row>
      </sheetData>
      <sheetData sheetId="1"/>
      <sheetData sheetId="2"/>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2480726.4900000002</v>
          </cell>
        </row>
        <row r="32">
          <cell r="C32">
            <v>0</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3150856.94</v>
          </cell>
        </row>
        <row r="32">
          <cell r="C32">
            <v>0.36140840505156402</v>
          </cell>
        </row>
      </sheetData>
      <sheetData sheetId="1"/>
      <sheetData sheetId="2"/>
      <sheetData sheetId="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995769.96</v>
          </cell>
        </row>
        <row r="32">
          <cell r="C32">
            <v>0.33409370739760602</v>
          </cell>
        </row>
      </sheetData>
      <sheetData sheetId="1"/>
      <sheetData sheetId="2"/>
      <sheetData sheetId="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425159.05</v>
          </cell>
        </row>
        <row r="32">
          <cell r="C32">
            <v>0.85722268226334697</v>
          </cell>
        </row>
      </sheetData>
      <sheetData sheetId="1"/>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4584911.97</v>
          </cell>
        </row>
        <row r="32">
          <cell r="C32">
            <v>0.64077622613519503</v>
          </cell>
        </row>
      </sheetData>
      <sheetData sheetId="1"/>
      <sheetData sheetId="2"/>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2781490.76</v>
          </cell>
        </row>
        <row r="32">
          <cell r="C32">
            <v>0.65562823325492203</v>
          </cell>
        </row>
      </sheetData>
      <sheetData sheetId="1"/>
      <sheetData sheetId="2"/>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2733754.19</v>
          </cell>
        </row>
        <row r="32">
          <cell r="C32">
            <v>0.36749765243368299</v>
          </cell>
        </row>
      </sheetData>
      <sheetData sheetId="1"/>
      <sheetData sheetId="2"/>
      <sheetData sheetId="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2331629.29</v>
          </cell>
        </row>
        <row r="32">
          <cell r="C32">
            <v>0.66739844461255904</v>
          </cell>
        </row>
      </sheetData>
      <sheetData sheetId="1"/>
      <sheetData sheetId="2"/>
      <sheetData sheetId="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466466.12999999902</v>
          </cell>
        </row>
        <row r="32">
          <cell r="C32">
            <v>0.96232493677112096</v>
          </cell>
        </row>
      </sheetData>
      <sheetData sheetId="1"/>
      <sheetData sheetId="2"/>
      <sheetData sheetId="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3372884.74</v>
          </cell>
        </row>
        <row r="32">
          <cell r="C32">
            <v>0</v>
          </cell>
        </row>
      </sheetData>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EXECUÇÃO"/>
    </sheetNames>
    <sheetDataSet>
      <sheetData sheetId="0">
        <row r="25">
          <cell r="C25">
            <v>42952.5</v>
          </cell>
        </row>
        <row r="26">
          <cell r="C26">
            <v>0</v>
          </cell>
        </row>
      </sheetData>
      <sheetData sheetId="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3695058.29</v>
          </cell>
        </row>
        <row r="32">
          <cell r="C32">
            <v>0.140465798916493</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-5218.58</v>
          </cell>
        </row>
        <row r="32">
          <cell r="C32">
            <v>1.11928340992863</v>
          </cell>
        </row>
      </sheetData>
      <sheetData sheetId="1"/>
      <sheetData sheetId="2"/>
      <sheetData sheetId="3"/>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435822.54</v>
          </cell>
        </row>
        <row r="32">
          <cell r="C32">
            <v>0.84000640969162998</v>
          </cell>
        </row>
      </sheetData>
      <sheetData sheetId="1"/>
      <sheetData sheetId="2"/>
      <sheetData sheetId="3"/>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1248317.19</v>
          </cell>
        </row>
        <row r="32">
          <cell r="C32">
            <v>0.28562294046436199</v>
          </cell>
        </row>
      </sheetData>
      <sheetData sheetId="1"/>
      <sheetData sheetId="2"/>
      <sheetData sheetId="3"/>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270000</v>
          </cell>
        </row>
        <row r="32">
          <cell r="C32">
            <v>0.8</v>
          </cell>
        </row>
      </sheetData>
      <sheetData sheetId="1"/>
      <sheetData sheetId="2"/>
      <sheetData sheetId="3"/>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908019.99</v>
          </cell>
        </row>
        <row r="32">
          <cell r="C32">
            <v>0</v>
          </cell>
        </row>
      </sheetData>
      <sheetData sheetId="1"/>
      <sheetData sheetId="2"/>
      <sheetData sheetId="3"/>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789503</v>
          </cell>
        </row>
        <row r="32">
          <cell r="C32">
            <v>0.35597564799412101</v>
          </cell>
        </row>
      </sheetData>
      <sheetData sheetId="1"/>
      <sheetData sheetId="2"/>
      <sheetData sheetId="3"/>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2032420.68</v>
          </cell>
        </row>
        <row r="32">
          <cell r="C32">
            <v>0.32146093236388801</v>
          </cell>
        </row>
      </sheetData>
      <sheetData sheetId="1"/>
      <sheetData sheetId="2"/>
      <sheetData sheetId="3"/>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3058196.87</v>
          </cell>
        </row>
        <row r="32">
          <cell r="C32">
            <v>0.34821834550059699</v>
          </cell>
        </row>
      </sheetData>
      <sheetData sheetId="1"/>
      <sheetData sheetId="2"/>
      <sheetData sheetId="3"/>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1368913.5</v>
          </cell>
        </row>
        <row r="32">
          <cell r="C32">
            <v>0</v>
          </cell>
        </row>
      </sheetData>
      <sheetData sheetId="1"/>
      <sheetData sheetId="2"/>
      <sheetData sheetId="3"/>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921308.04</v>
          </cell>
        </row>
        <row r="32">
          <cell r="C32">
            <v>0.505517720360941</v>
          </cell>
        </row>
      </sheetData>
      <sheetData sheetId="1"/>
      <sheetData sheetId="2"/>
      <sheetData sheetId="3"/>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722894.43</v>
          </cell>
        </row>
        <row r="32">
          <cell r="C32">
            <v>0.43310988144298501</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249937.76</v>
          </cell>
        </row>
        <row r="32">
          <cell r="C32">
            <v>0.87374421307092098</v>
          </cell>
        </row>
      </sheetData>
      <sheetData sheetId="1"/>
      <sheetData sheetId="2"/>
      <sheetData sheetId="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868564.5</v>
          </cell>
        </row>
        <row r="32">
          <cell r="C32">
            <v>0.464951930347964</v>
          </cell>
        </row>
      </sheetData>
      <sheetData sheetId="1"/>
      <sheetData sheetId="2"/>
      <sheetData sheetId="3"/>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2">
          <cell r="C32">
            <v>0.76179905940662196</v>
          </cell>
        </row>
      </sheetData>
      <sheetData sheetId="1"/>
      <sheetData sheetId="2"/>
      <sheetData sheetId="3"/>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995521.97</v>
          </cell>
        </row>
        <row r="32">
          <cell r="C32">
            <v>0.256783612923351</v>
          </cell>
        </row>
      </sheetData>
      <sheetData sheetId="1"/>
      <sheetData sheetId="2"/>
      <sheetData sheetId="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260493.14</v>
          </cell>
        </row>
        <row r="32">
          <cell r="C32">
            <v>0.77192254005305505</v>
          </cell>
        </row>
      </sheetData>
      <sheetData sheetId="1"/>
      <sheetData sheetId="2"/>
      <sheetData sheetId="3"/>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5737465.6900000004</v>
          </cell>
        </row>
        <row r="32">
          <cell r="C32">
            <v>0</v>
          </cell>
        </row>
      </sheetData>
      <sheetData sheetId="1"/>
      <sheetData sheetId="2"/>
      <sheetData sheetId="3"/>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920544.18</v>
          </cell>
        </row>
        <row r="32">
          <cell r="C32">
            <v>0.631782328</v>
          </cell>
        </row>
      </sheetData>
      <sheetData sheetId="1"/>
      <sheetData sheetId="2"/>
      <sheetData sheetId="3"/>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559660.76</v>
          </cell>
        </row>
        <row r="32">
          <cell r="C32">
            <v>0.35344583178821998</v>
          </cell>
        </row>
      </sheetData>
      <sheetData sheetId="1"/>
      <sheetData sheetId="2"/>
      <sheetData sheetId="3"/>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2141277.94</v>
          </cell>
        </row>
        <row r="32">
          <cell r="C32">
            <v>0.13161194306929899</v>
          </cell>
        </row>
      </sheetData>
      <sheetData sheetId="1"/>
      <sheetData sheetId="2"/>
      <sheetData sheetId="3"/>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1457190.2</v>
          </cell>
        </row>
        <row r="32">
          <cell r="C32">
            <v>0.27923205427967202</v>
          </cell>
        </row>
      </sheetData>
      <sheetData sheetId="1"/>
      <sheetData sheetId="2"/>
      <sheetData sheetId="3"/>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1698912.09</v>
          </cell>
        </row>
        <row r="32">
          <cell r="C32">
            <v>3.3409035337191098E-2</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3267869.75</v>
          </cell>
        </row>
        <row r="32">
          <cell r="C32">
            <v>0.72416056807630602</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842944.96</v>
          </cell>
        </row>
        <row r="32">
          <cell r="C32">
            <v>0.65613757529375705</v>
          </cell>
        </row>
      </sheetData>
      <sheetData sheetId="1"/>
      <sheetData sheetId="2"/>
      <sheetData sheetId="3"/>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2826137.25</v>
          </cell>
        </row>
        <row r="32">
          <cell r="C32">
            <v>5.3210788711986499E-2</v>
          </cell>
        </row>
      </sheetData>
      <sheetData sheetId="1"/>
      <sheetData sheetId="2"/>
      <sheetData sheetId="3"/>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EXECUÇÃO"/>
    </sheetNames>
    <sheetDataSet>
      <sheetData sheetId="0">
        <row r="25">
          <cell r="C25">
            <v>391420.75</v>
          </cell>
        </row>
        <row r="26">
          <cell r="C26">
            <v>0.45560396383866503</v>
          </cell>
        </row>
      </sheetData>
      <sheetData sheetId="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236820.01</v>
          </cell>
        </row>
        <row r="32">
          <cell r="C32">
            <v>0.79439494886353801</v>
          </cell>
        </row>
      </sheetData>
      <sheetData sheetId="1"/>
      <sheetData sheetId="2"/>
      <sheetData sheetId="3"/>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EXECUÇÃO"/>
    </sheetNames>
    <sheetDataSet>
      <sheetData sheetId="0">
        <row r="25">
          <cell r="C25">
            <v>23000</v>
          </cell>
        </row>
        <row r="26">
          <cell r="C26">
            <v>0</v>
          </cell>
        </row>
      </sheetData>
      <sheetData sheetId="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EXECUÇÃO"/>
    </sheetNames>
    <sheetDataSet>
      <sheetData sheetId="0">
        <row r="25">
          <cell r="C25">
            <v>152320</v>
          </cell>
        </row>
        <row r="26">
          <cell r="C26">
            <v>0</v>
          </cell>
        </row>
      </sheetData>
      <sheetData sheetId="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EXECUÇÃO"/>
    </sheetNames>
    <sheetDataSet>
      <sheetData sheetId="0">
        <row r="25">
          <cell r="C25">
            <v>1950</v>
          </cell>
        </row>
        <row r="26">
          <cell r="C26">
            <v>0</v>
          </cell>
        </row>
      </sheetData>
      <sheetData sheetId="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138702500</v>
          </cell>
        </row>
        <row r="32">
          <cell r="C32">
            <v>0</v>
          </cell>
        </row>
      </sheetData>
      <sheetData sheetId="1"/>
      <sheetData sheetId="2"/>
      <sheetData sheetId="3"/>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18866245.140000001</v>
          </cell>
        </row>
        <row r="32">
          <cell r="C32">
            <v>0</v>
          </cell>
        </row>
      </sheetData>
      <sheetData sheetId="1"/>
      <sheetData sheetId="2"/>
      <sheetData sheetId="3"/>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EXECUÇÃO"/>
    </sheetNames>
    <sheetDataSet>
      <sheetData sheetId="0">
        <row r="26">
          <cell r="C26">
            <v>0</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0">
          <cell r="C30">
            <v>511092.16999999993</v>
          </cell>
        </row>
        <row r="31">
          <cell r="C31">
            <v>0.7388324052722548</v>
          </cell>
        </row>
      </sheetData>
      <sheetData sheetId="1"/>
      <sheetData sheetId="2"/>
      <sheetData sheetId="3"/>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4326765.3600000003</v>
          </cell>
        </row>
        <row r="32">
          <cell r="C32">
            <v>0</v>
          </cell>
        </row>
      </sheetData>
      <sheetData sheetId="1"/>
      <sheetData sheetId="2"/>
      <sheetData sheetId="3"/>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EXECUÇÃO"/>
    </sheetNames>
    <sheetDataSet>
      <sheetData sheetId="0">
        <row r="25">
          <cell r="C25">
            <v>24268</v>
          </cell>
        </row>
        <row r="26">
          <cell r="C26">
            <v>0</v>
          </cell>
        </row>
      </sheetData>
      <sheetData sheetId="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0">
          <cell r="C30">
            <v>698607.93</v>
          </cell>
        </row>
      </sheetData>
      <sheetData sheetId="1"/>
      <sheetData sheetId="2"/>
      <sheetData sheetId="3"/>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9">
          <cell r="C9">
            <v>45017</v>
          </cell>
        </row>
        <row r="10">
          <cell r="C10">
            <v>45046</v>
          </cell>
        </row>
        <row r="16">
          <cell r="C16">
            <v>44939</v>
          </cell>
        </row>
        <row r="17">
          <cell r="C17">
            <v>44968</v>
          </cell>
        </row>
        <row r="30">
          <cell r="C30">
            <v>4442979.5200000005</v>
          </cell>
        </row>
      </sheetData>
      <sheetData sheetId="1"/>
      <sheetData sheetId="2"/>
      <sheetData sheetId="3"/>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290136.41999999993</v>
          </cell>
        </row>
        <row r="32">
          <cell r="C32">
            <v>0.90815201014056868</v>
          </cell>
        </row>
      </sheetData>
      <sheetData sheetId="1"/>
      <sheetData sheetId="2"/>
      <sheetData sheetId="3"/>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332974.95999999996</v>
          </cell>
        </row>
        <row r="32">
          <cell r="C32">
            <v>0.85552747332591461</v>
          </cell>
        </row>
      </sheetData>
      <sheetData sheetId="1"/>
      <sheetData sheetId="2"/>
      <sheetData sheetId="3"/>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2">
          <cell r="C32">
            <v>0.62906059455141305</v>
          </cell>
        </row>
      </sheetData>
      <sheetData sheetId="1"/>
      <sheetData sheetId="2"/>
      <sheetData sheetId="3"/>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356.85000000009302</v>
          </cell>
        </row>
        <row r="32">
          <cell r="C32">
            <v>0.99974097015123997</v>
          </cell>
        </row>
      </sheetData>
      <sheetData sheetId="1"/>
      <sheetData sheetId="2"/>
      <sheetData sheetId="3"/>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4193901.42</v>
          </cell>
        </row>
      </sheetData>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0">
          <cell r="C30">
            <v>408485.06999999983</v>
          </cell>
        </row>
        <row r="31">
          <cell r="C31">
            <v>0.6638150917069412</v>
          </cell>
        </row>
      </sheetData>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0">
          <cell r="C30">
            <v>1312146.4699999997</v>
          </cell>
        </row>
        <row r="31">
          <cell r="C31">
            <v>0.82596280110428022</v>
          </cell>
        </row>
      </sheetData>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ASTRO"/>
      <sheetName val="ADITIVOS"/>
      <sheetName val="MEDIÇÕES"/>
      <sheetName val="PARALISAÇÕES"/>
    </sheetNames>
    <sheetDataSet>
      <sheetData sheetId="0">
        <row r="31">
          <cell r="C31">
            <v>27719.620000000999</v>
          </cell>
        </row>
        <row r="32">
          <cell r="C32">
            <v>0.99852883383532998</v>
          </cell>
        </row>
      </sheetData>
      <sheetData sheetId="1"/>
      <sheetData sheetId="2"/>
      <sheetData sheetId="3"/>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hyperlink" Target="mailto:marcela.smpu@pmf.sc.gov.br" TargetMode="External"/><Relationship Id="rId1" Type="http://schemas.openxmlformats.org/officeDocument/2006/relationships/hyperlink" Target="mailto:anacostalunga@gmail.com" TargetMode="Externa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472C4"/>
  </sheetPr>
  <dimension ref="A1:AMJ1048430"/>
  <sheetViews>
    <sheetView tabSelected="1" topLeftCell="A112" zoomScale="120" zoomScaleNormal="120" workbookViewId="0">
      <pane xSplit="4" topLeftCell="E1" activePane="topRight" state="frozen"/>
      <selection activeCell="A25" sqref="A25"/>
      <selection pane="topRight" activeCell="A115" sqref="A115"/>
    </sheetView>
  </sheetViews>
  <sheetFormatPr defaultColWidth="14.42578125" defaultRowHeight="15" x14ac:dyDescent="0.25"/>
  <cols>
    <col min="1" max="1" width="4.42578125" style="12" customWidth="1"/>
    <col min="2" max="2" width="15" style="13" customWidth="1"/>
    <col min="3" max="3" width="44" style="13" customWidth="1"/>
    <col min="4" max="4" width="13.42578125" style="13" customWidth="1"/>
    <col min="5" max="5" width="41.5703125" style="13" customWidth="1"/>
    <col min="6" max="6" width="12.28515625" style="13" customWidth="1"/>
    <col min="7" max="7" width="10" style="13" customWidth="1"/>
    <col min="8" max="8" width="10.85546875" style="13" customWidth="1"/>
    <col min="9" max="9" width="15.7109375" style="13" customWidth="1"/>
    <col min="10" max="10" width="14.28515625" style="12" customWidth="1"/>
    <col min="11" max="11" width="11" style="13" customWidth="1"/>
    <col min="12" max="12" width="10.140625" style="13" customWidth="1"/>
    <col min="13" max="13" width="17.28515625" style="13" customWidth="1"/>
    <col min="14" max="14" width="12.28515625" style="12" customWidth="1"/>
    <col min="15" max="15" width="11" style="13" customWidth="1"/>
    <col min="16" max="16" width="11.7109375" style="13" customWidth="1"/>
    <col min="17" max="17" width="10.140625" style="13" customWidth="1"/>
    <col min="18" max="18" width="15.7109375" style="13" customWidth="1"/>
    <col min="19" max="19" width="11.7109375" style="12" customWidth="1"/>
    <col min="20" max="20" width="11.7109375" style="13" customWidth="1"/>
    <col min="21" max="22" width="13.7109375" style="13" customWidth="1"/>
    <col min="23" max="23" width="12" style="13" customWidth="1"/>
    <col min="24" max="24" width="12.7109375" style="13" customWidth="1"/>
    <col min="25" max="25" width="16.28515625" style="12" customWidth="1"/>
    <col min="26" max="26" width="16.28515625" style="13" customWidth="1"/>
    <col min="27" max="27" width="13.140625" style="13" customWidth="1"/>
    <col min="28" max="31" width="15.7109375" style="13" customWidth="1"/>
    <col min="32" max="32" width="19" style="13" customWidth="1"/>
    <col min="33" max="33" width="7" style="13" customWidth="1"/>
    <col min="34" max="34" width="6.85546875" style="13" customWidth="1"/>
    <col min="35" max="35" width="17.7109375" style="13" customWidth="1"/>
    <col min="36" max="36" width="17.28515625" style="13" customWidth="1"/>
    <col min="37" max="37" width="15" style="13" customWidth="1"/>
    <col min="38" max="38" width="19.28515625" style="13" customWidth="1"/>
    <col min="39" max="39" width="14.5703125" style="13" customWidth="1"/>
    <col min="40" max="40" width="63.28515625" style="13" customWidth="1"/>
    <col min="41" max="49" width="9.140625" style="13" customWidth="1"/>
    <col min="50" max="1024" width="14.42578125" style="13"/>
  </cols>
  <sheetData>
    <row r="1" spans="1:40" ht="15.75" x14ac:dyDescent="0.25">
      <c r="B1" s="11" t="s">
        <v>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row>
    <row r="2" spans="1:40" ht="15.75" x14ac:dyDescent="0.25">
      <c r="B2" s="10" t="s">
        <v>1</v>
      </c>
      <c r="C2" s="10"/>
      <c r="D2" s="10"/>
      <c r="E2" s="10"/>
      <c r="F2" s="15"/>
      <c r="G2" s="15"/>
      <c r="H2" s="10"/>
      <c r="I2" s="10"/>
      <c r="J2" s="9" t="s">
        <v>2</v>
      </c>
      <c r="K2" s="9"/>
      <c r="L2" s="9"/>
      <c r="M2" s="9"/>
      <c r="N2" s="9"/>
      <c r="O2" s="9"/>
      <c r="P2" s="11" t="s">
        <v>3</v>
      </c>
      <c r="Q2" s="11"/>
      <c r="R2" s="11"/>
      <c r="S2" s="11"/>
      <c r="T2" s="11"/>
      <c r="U2" s="11"/>
      <c r="V2" s="11"/>
      <c r="W2" s="11"/>
      <c r="X2" s="14" t="s">
        <v>4</v>
      </c>
      <c r="Y2" s="11" t="s">
        <v>5</v>
      </c>
      <c r="Z2" s="11"/>
      <c r="AA2" s="11"/>
      <c r="AB2" s="11" t="s">
        <v>6</v>
      </c>
      <c r="AC2" s="11"/>
      <c r="AD2" s="11"/>
      <c r="AE2" s="11"/>
      <c r="AF2" s="11" t="s">
        <v>7</v>
      </c>
      <c r="AG2" s="11"/>
      <c r="AH2" s="11"/>
      <c r="AI2" s="11"/>
      <c r="AJ2" s="11"/>
      <c r="AK2" s="11"/>
      <c r="AL2" s="11"/>
      <c r="AM2" s="11"/>
      <c r="AN2" s="11"/>
    </row>
    <row r="3" spans="1:40" s="21" customFormat="1" ht="22.5" x14ac:dyDescent="0.25">
      <c r="A3" s="16"/>
      <c r="B3" s="17" t="s">
        <v>8</v>
      </c>
      <c r="C3" s="17" t="s">
        <v>9</v>
      </c>
      <c r="D3" s="18" t="s">
        <v>10</v>
      </c>
      <c r="E3" s="18" t="s">
        <v>11</v>
      </c>
      <c r="F3" s="18" t="s">
        <v>12</v>
      </c>
      <c r="G3" s="19" t="s">
        <v>13</v>
      </c>
      <c r="H3" s="18" t="s">
        <v>14</v>
      </c>
      <c r="I3" s="18" t="s">
        <v>15</v>
      </c>
      <c r="J3" s="20" t="s">
        <v>16</v>
      </c>
      <c r="K3" s="19" t="s">
        <v>17</v>
      </c>
      <c r="L3" s="19" t="s">
        <v>18</v>
      </c>
      <c r="M3" s="19" t="s">
        <v>19</v>
      </c>
      <c r="N3" s="19" t="s">
        <v>20</v>
      </c>
      <c r="O3" s="19" t="s">
        <v>21</v>
      </c>
      <c r="P3" s="19" t="s">
        <v>22</v>
      </c>
      <c r="Q3" s="19" t="s">
        <v>18</v>
      </c>
      <c r="R3" s="19" t="s">
        <v>23</v>
      </c>
      <c r="S3" s="19" t="s">
        <v>24</v>
      </c>
      <c r="T3" s="19" t="s">
        <v>25</v>
      </c>
      <c r="U3" s="19" t="s">
        <v>26</v>
      </c>
      <c r="V3" s="19" t="s">
        <v>27</v>
      </c>
      <c r="W3" s="19" t="s">
        <v>28</v>
      </c>
      <c r="X3" s="19" t="s">
        <v>29</v>
      </c>
      <c r="Y3" s="19" t="s">
        <v>30</v>
      </c>
      <c r="Z3" s="19" t="s">
        <v>31</v>
      </c>
      <c r="AA3" s="19" t="s">
        <v>32</v>
      </c>
      <c r="AB3" s="18" t="s">
        <v>33</v>
      </c>
      <c r="AC3" s="18" t="s">
        <v>34</v>
      </c>
      <c r="AD3" s="18" t="s">
        <v>35</v>
      </c>
      <c r="AE3" s="18" t="s">
        <v>36</v>
      </c>
      <c r="AF3" s="18" t="s">
        <v>7</v>
      </c>
      <c r="AG3" s="18" t="s">
        <v>37</v>
      </c>
      <c r="AH3" s="18" t="s">
        <v>38</v>
      </c>
      <c r="AI3" s="19" t="s">
        <v>39</v>
      </c>
      <c r="AJ3" s="19" t="s">
        <v>40</v>
      </c>
      <c r="AK3" s="19" t="s">
        <v>41</v>
      </c>
      <c r="AL3" s="19" t="s">
        <v>42</v>
      </c>
      <c r="AM3" s="18" t="s">
        <v>43</v>
      </c>
      <c r="AN3" s="18" t="s">
        <v>44</v>
      </c>
    </row>
    <row r="4" spans="1:40" s="33" customFormat="1" ht="74.25" customHeight="1" x14ac:dyDescent="0.25">
      <c r="A4" s="22">
        <v>1</v>
      </c>
      <c r="B4" s="23" t="s">
        <v>45</v>
      </c>
      <c r="C4" s="24" t="s">
        <v>46</v>
      </c>
      <c r="D4" s="22" t="s">
        <v>47</v>
      </c>
      <c r="E4" s="25" t="s">
        <v>48</v>
      </c>
      <c r="F4" s="25"/>
      <c r="G4" s="23" t="s">
        <v>49</v>
      </c>
      <c r="H4" s="24" t="s">
        <v>50</v>
      </c>
      <c r="I4" s="24" t="s">
        <v>50</v>
      </c>
      <c r="J4" s="26">
        <v>44477</v>
      </c>
      <c r="K4" s="27">
        <v>45232</v>
      </c>
      <c r="L4" s="28">
        <f>8*30</f>
        <v>240</v>
      </c>
      <c r="M4" s="24">
        <f t="shared" ref="M4:M35" ca="1" si="0">IF(O4="","",O4-TODAY())</f>
        <v>288</v>
      </c>
      <c r="N4" s="22" t="str">
        <f t="shared" ref="N4:N35" ca="1" si="1">IF(M4&lt;=0,"EXPIRADO",IF(M4&gt;=60,"VIGENTE","ADITAR"))</f>
        <v>VIGENTE</v>
      </c>
      <c r="O4" s="27">
        <v>45471</v>
      </c>
      <c r="P4" s="27">
        <v>45101</v>
      </c>
      <c r="Q4" s="28">
        <f>8*30</f>
        <v>240</v>
      </c>
      <c r="R4" s="24">
        <f t="shared" ref="R4:R35" ca="1" si="2">IF(T4="","",T4-TODAY())</f>
        <v>157</v>
      </c>
      <c r="S4" s="22" t="str">
        <f t="shared" ref="S4:S35" ca="1" si="3">IF(R4&lt;=0,"EXPIRADO",IF(R4&gt;=60,"VIGENTE","ADITAR"))</f>
        <v>VIGENTE</v>
      </c>
      <c r="T4" s="27">
        <v>45340</v>
      </c>
      <c r="U4" s="27">
        <v>44560</v>
      </c>
      <c r="V4" s="27">
        <v>44895</v>
      </c>
      <c r="W4" s="22">
        <f t="shared" ref="W4:W45" si="4">V4-U4</f>
        <v>335</v>
      </c>
      <c r="X4" s="23" t="s">
        <v>51</v>
      </c>
      <c r="Y4" s="29">
        <v>7135353.3799999999</v>
      </c>
      <c r="Z4" s="29">
        <f>[1]CADASTRO!$C$31</f>
        <v>5656455.0899999999</v>
      </c>
      <c r="AA4" s="30">
        <f>[1]CADASTRO!$C$32</f>
        <v>0.207263866419931</v>
      </c>
      <c r="AB4" s="23" t="s">
        <v>52</v>
      </c>
      <c r="AC4" s="23" t="s">
        <v>53</v>
      </c>
      <c r="AD4" s="23" t="s">
        <v>49</v>
      </c>
      <c r="AE4" s="23" t="s">
        <v>49</v>
      </c>
      <c r="AF4" s="22" t="s">
        <v>54</v>
      </c>
      <c r="AG4" s="31">
        <v>2</v>
      </c>
      <c r="AH4" s="31">
        <v>1</v>
      </c>
      <c r="AI4" s="27">
        <f t="shared" ref="AI4:AI10" si="5">J4</f>
        <v>44477</v>
      </c>
      <c r="AJ4" s="28">
        <f t="shared" ref="AJ4:AJ35" ca="1" si="6">(IF(AK4="","",AK4-TODAY()))/360</f>
        <v>3.0388888888888888</v>
      </c>
      <c r="AK4" s="27">
        <f t="shared" ref="AK4:AK35" si="7">AI4+1800</f>
        <v>46277</v>
      </c>
      <c r="AL4" s="24" t="s">
        <v>55</v>
      </c>
      <c r="AM4" s="31" t="s">
        <v>56</v>
      </c>
      <c r="AN4" s="32" t="s">
        <v>57</v>
      </c>
    </row>
    <row r="5" spans="1:40" s="33" customFormat="1" ht="74.25" customHeight="1" x14ac:dyDescent="0.25">
      <c r="A5" s="22">
        <v>2</v>
      </c>
      <c r="B5" s="23" t="s">
        <v>45</v>
      </c>
      <c r="C5" s="24" t="s">
        <v>46</v>
      </c>
      <c r="D5" s="22" t="s">
        <v>58</v>
      </c>
      <c r="E5" s="25" t="s">
        <v>59</v>
      </c>
      <c r="F5" s="25"/>
      <c r="G5" s="23" t="s">
        <v>49</v>
      </c>
      <c r="H5" s="24" t="s">
        <v>60</v>
      </c>
      <c r="I5" s="24" t="s">
        <v>61</v>
      </c>
      <c r="J5" s="26">
        <v>44791</v>
      </c>
      <c r="K5" s="27">
        <v>45142</v>
      </c>
      <c r="L5" s="28">
        <f>6*30</f>
        <v>180</v>
      </c>
      <c r="M5" s="24">
        <f t="shared" ca="1" si="0"/>
        <v>198</v>
      </c>
      <c r="N5" s="22" t="str">
        <f t="shared" ca="1" si="1"/>
        <v>VIGENTE</v>
      </c>
      <c r="O5" s="27">
        <v>45381</v>
      </c>
      <c r="P5" s="27">
        <v>45085</v>
      </c>
      <c r="Q5" s="28">
        <f>8*30</f>
        <v>240</v>
      </c>
      <c r="R5" s="24">
        <f t="shared" ca="1" si="2"/>
        <v>141</v>
      </c>
      <c r="S5" s="22" t="str">
        <f t="shared" ca="1" si="3"/>
        <v>VIGENTE</v>
      </c>
      <c r="T5" s="27">
        <v>45324</v>
      </c>
      <c r="U5" s="27">
        <v>44914</v>
      </c>
      <c r="V5" s="27">
        <v>44935</v>
      </c>
      <c r="W5" s="22">
        <f t="shared" si="4"/>
        <v>21</v>
      </c>
      <c r="X5" s="24">
        <v>420</v>
      </c>
      <c r="Y5" s="29">
        <v>4934070.49</v>
      </c>
      <c r="Z5" s="29">
        <f>[2]CADASTRO!$C$31</f>
        <v>3150856.94</v>
      </c>
      <c r="AA5" s="30">
        <f>[2]CADASTRO!$C$32</f>
        <v>0.36140840505156402</v>
      </c>
      <c r="AB5" s="23" t="s">
        <v>62</v>
      </c>
      <c r="AC5" s="23" t="s">
        <v>63</v>
      </c>
      <c r="AD5" s="23" t="s">
        <v>49</v>
      </c>
      <c r="AE5" s="23" t="s">
        <v>49</v>
      </c>
      <c r="AF5" s="22" t="s">
        <v>64</v>
      </c>
      <c r="AG5" s="31">
        <v>3</v>
      </c>
      <c r="AH5" s="31">
        <v>0</v>
      </c>
      <c r="AI5" s="27">
        <f t="shared" si="5"/>
        <v>44791</v>
      </c>
      <c r="AJ5" s="28">
        <f t="shared" ca="1" si="6"/>
        <v>3.911111111111111</v>
      </c>
      <c r="AK5" s="27">
        <f t="shared" si="7"/>
        <v>46591</v>
      </c>
      <c r="AL5" s="23" t="s">
        <v>65</v>
      </c>
      <c r="AM5" s="31" t="s">
        <v>66</v>
      </c>
      <c r="AN5" s="32" t="s">
        <v>67</v>
      </c>
    </row>
    <row r="6" spans="1:40" s="33" customFormat="1" ht="74.25" customHeight="1" x14ac:dyDescent="0.25">
      <c r="A6" s="22">
        <v>3</v>
      </c>
      <c r="B6" s="23" t="s">
        <v>45</v>
      </c>
      <c r="C6" s="24" t="s">
        <v>68</v>
      </c>
      <c r="D6" s="22" t="s">
        <v>69</v>
      </c>
      <c r="E6" s="25" t="s">
        <v>70</v>
      </c>
      <c r="F6" s="25"/>
      <c r="G6" s="23" t="s">
        <v>49</v>
      </c>
      <c r="H6" s="24" t="s">
        <v>71</v>
      </c>
      <c r="I6" s="24" t="s">
        <v>71</v>
      </c>
      <c r="J6" s="26">
        <v>43398</v>
      </c>
      <c r="K6" s="27">
        <v>43398</v>
      </c>
      <c r="L6" s="28">
        <f>6*30</f>
        <v>180</v>
      </c>
      <c r="M6" s="24">
        <f t="shared" ca="1" si="0"/>
        <v>40</v>
      </c>
      <c r="N6" s="22" t="str">
        <f t="shared" ca="1" si="1"/>
        <v>ADITAR</v>
      </c>
      <c r="O6" s="27">
        <v>45223</v>
      </c>
      <c r="P6" s="27">
        <v>44927</v>
      </c>
      <c r="Q6" s="28">
        <f>6*30</f>
        <v>180</v>
      </c>
      <c r="R6" s="24">
        <f t="shared" ca="1" si="2"/>
        <v>40</v>
      </c>
      <c r="S6" s="22" t="str">
        <f t="shared" ca="1" si="3"/>
        <v>ADITAR</v>
      </c>
      <c r="T6" s="27">
        <v>45223</v>
      </c>
      <c r="U6" s="27"/>
      <c r="V6" s="27"/>
      <c r="W6" s="22">
        <f t="shared" si="4"/>
        <v>0</v>
      </c>
      <c r="X6" s="24">
        <v>5500</v>
      </c>
      <c r="Y6" s="29">
        <v>35000</v>
      </c>
      <c r="Z6" s="29">
        <f>[3]CADASTRO!$C$31</f>
        <v>-5218.58</v>
      </c>
      <c r="AA6" s="30">
        <f>[3]CADASTRO!$C$32</f>
        <v>1.11928340992863</v>
      </c>
      <c r="AB6" s="23" t="s">
        <v>72</v>
      </c>
      <c r="AC6" s="23" t="s">
        <v>49</v>
      </c>
      <c r="AD6" s="23" t="s">
        <v>49</v>
      </c>
      <c r="AE6" s="23" t="s">
        <v>49</v>
      </c>
      <c r="AF6" s="22" t="s">
        <v>73</v>
      </c>
      <c r="AG6" s="31">
        <v>6</v>
      </c>
      <c r="AH6" s="31">
        <v>1</v>
      </c>
      <c r="AI6" s="27">
        <f t="shared" si="5"/>
        <v>43398</v>
      </c>
      <c r="AJ6" s="28">
        <f t="shared" ca="1" si="6"/>
        <v>4.1666666666666664E-2</v>
      </c>
      <c r="AK6" s="27">
        <f t="shared" si="7"/>
        <v>45198</v>
      </c>
      <c r="AL6" s="24" t="s">
        <v>74</v>
      </c>
      <c r="AM6" s="31"/>
      <c r="AN6" s="32"/>
    </row>
    <row r="7" spans="1:40" s="33" customFormat="1" ht="74.25" customHeight="1" x14ac:dyDescent="0.25">
      <c r="A7" s="22">
        <v>4</v>
      </c>
      <c r="B7" s="23" t="s">
        <v>45</v>
      </c>
      <c r="C7" s="24" t="s">
        <v>75</v>
      </c>
      <c r="D7" s="22" t="s">
        <v>76</v>
      </c>
      <c r="E7" s="25" t="s">
        <v>77</v>
      </c>
      <c r="F7" s="25"/>
      <c r="G7" s="23" t="s">
        <v>49</v>
      </c>
      <c r="H7" s="24" t="s">
        <v>78</v>
      </c>
      <c r="I7" s="24" t="s">
        <v>79</v>
      </c>
      <c r="J7" s="26">
        <v>44662</v>
      </c>
      <c r="K7" s="27">
        <v>45082</v>
      </c>
      <c r="L7" s="28">
        <f>3*30</f>
        <v>90</v>
      </c>
      <c r="M7" s="24">
        <f t="shared" ca="1" si="0"/>
        <v>-12</v>
      </c>
      <c r="N7" s="22" t="str">
        <f t="shared" ca="1" si="1"/>
        <v>EXPIRADO</v>
      </c>
      <c r="O7" s="27">
        <v>45171</v>
      </c>
      <c r="P7" s="27">
        <v>45042</v>
      </c>
      <c r="Q7" s="28">
        <f>3*30</f>
        <v>90</v>
      </c>
      <c r="R7" s="24">
        <f t="shared" ca="1" si="2"/>
        <v>-22</v>
      </c>
      <c r="S7" s="22" t="str">
        <f t="shared" ca="1" si="3"/>
        <v>EXPIRADO</v>
      </c>
      <c r="T7" s="27">
        <v>45161</v>
      </c>
      <c r="U7" s="27"/>
      <c r="V7" s="27"/>
      <c r="W7" s="22">
        <f t="shared" si="4"/>
        <v>0</v>
      </c>
      <c r="X7" s="24">
        <v>30</v>
      </c>
      <c r="Y7" s="29">
        <v>1979614.29</v>
      </c>
      <c r="Z7" s="29">
        <f>[4]CADASTRO!$C$31</f>
        <v>249937.76</v>
      </c>
      <c r="AA7" s="30">
        <f>[4]CADASTRO!$C$32</f>
        <v>0.87374421307092098</v>
      </c>
      <c r="AB7" s="23" t="s">
        <v>63</v>
      </c>
      <c r="AC7" s="23" t="s">
        <v>62</v>
      </c>
      <c r="AD7" s="23" t="s">
        <v>49</v>
      </c>
      <c r="AE7" s="23" t="s">
        <v>49</v>
      </c>
      <c r="AF7" s="22" t="s">
        <v>80</v>
      </c>
      <c r="AG7" s="31">
        <v>2</v>
      </c>
      <c r="AH7" s="31">
        <v>1</v>
      </c>
      <c r="AI7" s="27">
        <f t="shared" si="5"/>
        <v>44662</v>
      </c>
      <c r="AJ7" s="28">
        <f t="shared" ca="1" si="6"/>
        <v>3.5527777777777776</v>
      </c>
      <c r="AK7" s="27">
        <f t="shared" si="7"/>
        <v>46462</v>
      </c>
      <c r="AL7" s="24"/>
      <c r="AM7" s="31"/>
      <c r="AN7" s="32"/>
    </row>
    <row r="8" spans="1:40" s="33" customFormat="1" ht="74.25" customHeight="1" x14ac:dyDescent="0.25">
      <c r="A8" s="22">
        <v>5</v>
      </c>
      <c r="B8" s="23" t="s">
        <v>45</v>
      </c>
      <c r="C8" s="24" t="s">
        <v>81</v>
      </c>
      <c r="D8" s="22" t="s">
        <v>82</v>
      </c>
      <c r="E8" s="25" t="s">
        <v>83</v>
      </c>
      <c r="F8" s="25"/>
      <c r="G8" s="23" t="s">
        <v>49</v>
      </c>
      <c r="H8" s="24" t="s">
        <v>60</v>
      </c>
      <c r="I8" s="24" t="s">
        <v>84</v>
      </c>
      <c r="J8" s="26">
        <v>44683</v>
      </c>
      <c r="K8" s="27">
        <v>45103</v>
      </c>
      <c r="L8" s="28">
        <f>6*30</f>
        <v>180</v>
      </c>
      <c r="M8" s="24">
        <f t="shared" ca="1" si="0"/>
        <v>99</v>
      </c>
      <c r="N8" s="22" t="str">
        <f t="shared" ca="1" si="1"/>
        <v>VIGENTE</v>
      </c>
      <c r="O8" s="27">
        <v>45282</v>
      </c>
      <c r="P8" s="27">
        <v>45132</v>
      </c>
      <c r="Q8" s="28">
        <f>3*30</f>
        <v>90</v>
      </c>
      <c r="R8" s="24">
        <f t="shared" ca="1" si="2"/>
        <v>38</v>
      </c>
      <c r="S8" s="22" t="str">
        <f t="shared" ca="1" si="3"/>
        <v>ADITAR</v>
      </c>
      <c r="T8" s="27">
        <v>45221</v>
      </c>
      <c r="U8" s="27"/>
      <c r="V8" s="27"/>
      <c r="W8" s="22">
        <f t="shared" si="4"/>
        <v>0</v>
      </c>
      <c r="X8" s="23" t="s">
        <v>85</v>
      </c>
      <c r="Y8" s="29">
        <v>12141338.380000001</v>
      </c>
      <c r="Z8" s="29">
        <f>[5]CADASTRO!$C$31</f>
        <v>3267869.75</v>
      </c>
      <c r="AA8" s="30">
        <f>[5]CADASTRO!$C$32</f>
        <v>0.72416056807630602</v>
      </c>
      <c r="AB8" s="23" t="s">
        <v>53</v>
      </c>
      <c r="AC8" s="23" t="s">
        <v>52</v>
      </c>
      <c r="AD8" s="23" t="s">
        <v>49</v>
      </c>
      <c r="AE8" s="23" t="s">
        <v>49</v>
      </c>
      <c r="AF8" s="22" t="s">
        <v>86</v>
      </c>
      <c r="AG8" s="31">
        <v>2</v>
      </c>
      <c r="AH8" s="31">
        <v>3</v>
      </c>
      <c r="AI8" s="27">
        <f t="shared" si="5"/>
        <v>44683</v>
      </c>
      <c r="AJ8" s="28">
        <f t="shared" ca="1" si="6"/>
        <v>3.6111111111111112</v>
      </c>
      <c r="AK8" s="27">
        <f t="shared" si="7"/>
        <v>46483</v>
      </c>
      <c r="AL8" s="24" t="s">
        <v>87</v>
      </c>
      <c r="AM8" s="31" t="s">
        <v>56</v>
      </c>
      <c r="AN8" s="32" t="s">
        <v>88</v>
      </c>
    </row>
    <row r="9" spans="1:40" s="33" customFormat="1" ht="74.25" customHeight="1" x14ac:dyDescent="0.25">
      <c r="A9" s="22">
        <v>6</v>
      </c>
      <c r="B9" s="23" t="s">
        <v>45</v>
      </c>
      <c r="C9" s="24" t="s">
        <v>89</v>
      </c>
      <c r="D9" s="22" t="s">
        <v>90</v>
      </c>
      <c r="E9" s="25" t="s">
        <v>91</v>
      </c>
      <c r="F9" s="25"/>
      <c r="G9" s="23" t="s">
        <v>49</v>
      </c>
      <c r="H9" s="24" t="s">
        <v>50</v>
      </c>
      <c r="I9" s="24" t="s">
        <v>92</v>
      </c>
      <c r="J9" s="26">
        <v>43802</v>
      </c>
      <c r="K9" s="27">
        <v>44310</v>
      </c>
      <c r="L9" s="28">
        <f>4*30</f>
        <v>120</v>
      </c>
      <c r="M9" s="24">
        <f t="shared" ca="1" si="0"/>
        <v>-754</v>
      </c>
      <c r="N9" s="22" t="str">
        <f t="shared" ca="1" si="1"/>
        <v>EXPIRADO</v>
      </c>
      <c r="O9" s="27">
        <v>44429</v>
      </c>
      <c r="P9" s="27">
        <v>44277</v>
      </c>
      <c r="Q9" s="28">
        <f>4*30</f>
        <v>120</v>
      </c>
      <c r="R9" s="24">
        <f t="shared" ca="1" si="2"/>
        <v>-787</v>
      </c>
      <c r="S9" s="22" t="str">
        <f t="shared" ca="1" si="3"/>
        <v>EXPIRADO</v>
      </c>
      <c r="T9" s="27">
        <v>44396</v>
      </c>
      <c r="U9" s="27">
        <v>44372</v>
      </c>
      <c r="V9" s="27">
        <f ca="1">TODAY()</f>
        <v>45183</v>
      </c>
      <c r="W9" s="22">
        <f t="shared" ca="1" si="4"/>
        <v>811</v>
      </c>
      <c r="X9" s="23" t="s">
        <v>93</v>
      </c>
      <c r="Y9" s="29">
        <v>1956950.94</v>
      </c>
      <c r="Z9" s="29">
        <f>[6]CADASTRO!$C$30</f>
        <v>511092.16999999993</v>
      </c>
      <c r="AA9" s="30">
        <f>[6]CADASTRO!$C$31</f>
        <v>0.7388324052722548</v>
      </c>
      <c r="AB9" s="23" t="s">
        <v>62</v>
      </c>
      <c r="AC9" s="23" t="s">
        <v>49</v>
      </c>
      <c r="AD9" s="23" t="s">
        <v>49</v>
      </c>
      <c r="AE9" s="23" t="s">
        <v>49</v>
      </c>
      <c r="AF9" s="22" t="s">
        <v>94</v>
      </c>
      <c r="AG9" s="31">
        <v>4</v>
      </c>
      <c r="AH9" s="31">
        <v>0</v>
      </c>
      <c r="AI9" s="27">
        <f t="shared" si="5"/>
        <v>43802</v>
      </c>
      <c r="AJ9" s="28">
        <f t="shared" ca="1" si="6"/>
        <v>1.163888888888889</v>
      </c>
      <c r="AK9" s="27">
        <f t="shared" si="7"/>
        <v>45602</v>
      </c>
      <c r="AL9" s="24" t="s">
        <v>95</v>
      </c>
      <c r="AM9" s="31"/>
      <c r="AN9" s="32" t="s">
        <v>96</v>
      </c>
    </row>
    <row r="10" spans="1:40" s="33" customFormat="1" ht="74.25" customHeight="1" x14ac:dyDescent="0.25">
      <c r="A10" s="22">
        <v>7</v>
      </c>
      <c r="B10" s="23" t="s">
        <v>45</v>
      </c>
      <c r="C10" s="24" t="s">
        <v>97</v>
      </c>
      <c r="D10" s="22" t="s">
        <v>98</v>
      </c>
      <c r="E10" s="25" t="s">
        <v>99</v>
      </c>
      <c r="F10" s="25"/>
      <c r="G10" s="23" t="s">
        <v>49</v>
      </c>
      <c r="H10" s="24" t="s">
        <v>60</v>
      </c>
      <c r="I10" s="24" t="s">
        <v>100</v>
      </c>
      <c r="J10" s="26">
        <v>44195</v>
      </c>
      <c r="K10" s="27">
        <v>45078</v>
      </c>
      <c r="L10" s="24">
        <f>4*30</f>
        <v>120</v>
      </c>
      <c r="M10" s="24">
        <f t="shared" ca="1" si="0"/>
        <v>16</v>
      </c>
      <c r="N10" s="22" t="str">
        <f t="shared" ca="1" si="1"/>
        <v>ADITAR</v>
      </c>
      <c r="O10" s="27">
        <v>45199</v>
      </c>
      <c r="P10" s="27">
        <v>44554</v>
      </c>
      <c r="Q10" s="24">
        <f>18*30</f>
        <v>540</v>
      </c>
      <c r="R10" s="24">
        <f t="shared" ca="1" si="2"/>
        <v>-510</v>
      </c>
      <c r="S10" s="22" t="str">
        <f t="shared" ca="1" si="3"/>
        <v>EXPIRADO</v>
      </c>
      <c r="T10" s="27">
        <v>44673</v>
      </c>
      <c r="U10" s="27"/>
      <c r="V10" s="27"/>
      <c r="W10" s="22">
        <f t="shared" si="4"/>
        <v>0</v>
      </c>
      <c r="X10" s="23" t="s">
        <v>101</v>
      </c>
      <c r="Y10" s="29">
        <v>1215060.7</v>
      </c>
      <c r="Z10" s="29">
        <f>[7]CADASTRO!$C$30</f>
        <v>408485.06999999983</v>
      </c>
      <c r="AA10" s="30">
        <f>[7]CADASTRO!$C$31</f>
        <v>0.6638150917069412</v>
      </c>
      <c r="AB10" s="23" t="s">
        <v>102</v>
      </c>
      <c r="AC10" s="23" t="s">
        <v>49</v>
      </c>
      <c r="AD10" s="23" t="s">
        <v>49</v>
      </c>
      <c r="AE10" s="23" t="s">
        <v>49</v>
      </c>
      <c r="AF10" s="22" t="s">
        <v>86</v>
      </c>
      <c r="AG10" s="31">
        <v>5</v>
      </c>
      <c r="AH10" s="31">
        <v>1</v>
      </c>
      <c r="AI10" s="27">
        <f t="shared" si="5"/>
        <v>44195</v>
      </c>
      <c r="AJ10" s="28">
        <f t="shared" ca="1" si="6"/>
        <v>2.2555555555555555</v>
      </c>
      <c r="AK10" s="27">
        <f t="shared" si="7"/>
        <v>45995</v>
      </c>
      <c r="AL10" s="24"/>
      <c r="AM10" s="31" t="s">
        <v>103</v>
      </c>
      <c r="AN10" s="32" t="s">
        <v>104</v>
      </c>
    </row>
    <row r="11" spans="1:40" s="33" customFormat="1" ht="74.25" customHeight="1" x14ac:dyDescent="0.25">
      <c r="A11" s="22">
        <v>8</v>
      </c>
      <c r="B11" s="23" t="s">
        <v>45</v>
      </c>
      <c r="C11" s="24" t="s">
        <v>105</v>
      </c>
      <c r="D11" s="22" t="s">
        <v>106</v>
      </c>
      <c r="E11" s="25" t="s">
        <v>107</v>
      </c>
      <c r="F11" s="25"/>
      <c r="G11" s="23" t="s">
        <v>49</v>
      </c>
      <c r="H11" s="24" t="s">
        <v>78</v>
      </c>
      <c r="I11" s="24" t="s">
        <v>108</v>
      </c>
      <c r="J11" s="26">
        <v>43810</v>
      </c>
      <c r="K11" s="27">
        <v>45130</v>
      </c>
      <c r="L11" s="24">
        <f>3*30</f>
        <v>90</v>
      </c>
      <c r="M11" s="24">
        <f t="shared" ca="1" si="0"/>
        <v>36</v>
      </c>
      <c r="N11" s="22" t="str">
        <f t="shared" ca="1" si="1"/>
        <v>ADITAR</v>
      </c>
      <c r="O11" s="27">
        <v>45219</v>
      </c>
      <c r="P11" s="27">
        <v>45127</v>
      </c>
      <c r="Q11" s="24">
        <f>3*30</f>
        <v>90</v>
      </c>
      <c r="R11" s="24">
        <f t="shared" ca="1" si="2"/>
        <v>33</v>
      </c>
      <c r="S11" s="22" t="str">
        <f t="shared" ca="1" si="3"/>
        <v>ADITAR</v>
      </c>
      <c r="T11" s="27">
        <v>45216</v>
      </c>
      <c r="U11" s="27"/>
      <c r="V11" s="27"/>
      <c r="W11" s="22">
        <f t="shared" si="4"/>
        <v>0</v>
      </c>
      <c r="X11" s="23" t="s">
        <v>101</v>
      </c>
      <c r="Y11" s="29">
        <v>7539459.8300000001</v>
      </c>
      <c r="Z11" s="29">
        <f>[8]CADASTRO!$C$30</f>
        <v>1312146.4699999997</v>
      </c>
      <c r="AA11" s="30">
        <f>[8]CADASTRO!$C$31</f>
        <v>0.82596280110428022</v>
      </c>
      <c r="AB11" s="23" t="s">
        <v>52</v>
      </c>
      <c r="AC11" s="23" t="s">
        <v>49</v>
      </c>
      <c r="AD11" s="23" t="s">
        <v>49</v>
      </c>
      <c r="AE11" s="23" t="s">
        <v>49</v>
      </c>
      <c r="AF11" s="22" t="s">
        <v>73</v>
      </c>
      <c r="AG11" s="31">
        <v>11</v>
      </c>
      <c r="AH11" s="31">
        <v>0</v>
      </c>
      <c r="AI11" s="27">
        <v>45126</v>
      </c>
      <c r="AJ11" s="28">
        <f t="shared" ca="1" si="6"/>
        <v>4.8416666666666668</v>
      </c>
      <c r="AK11" s="27">
        <f t="shared" si="7"/>
        <v>46926</v>
      </c>
      <c r="AL11" s="24"/>
      <c r="AM11" s="31"/>
      <c r="AN11" s="32"/>
    </row>
    <row r="12" spans="1:40" s="33" customFormat="1" ht="74.25" customHeight="1" x14ac:dyDescent="0.25">
      <c r="A12" s="22">
        <v>9</v>
      </c>
      <c r="B12" s="23" t="s">
        <v>45</v>
      </c>
      <c r="C12" s="24" t="s">
        <v>109</v>
      </c>
      <c r="D12" s="22" t="s">
        <v>110</v>
      </c>
      <c r="E12" s="25" t="s">
        <v>111</v>
      </c>
      <c r="F12" s="25"/>
      <c r="G12" s="23" t="s">
        <v>49</v>
      </c>
      <c r="H12" s="24" t="s">
        <v>78</v>
      </c>
      <c r="I12" s="24" t="s">
        <v>112</v>
      </c>
      <c r="J12" s="26">
        <v>44868</v>
      </c>
      <c r="K12" s="27">
        <v>45202</v>
      </c>
      <c r="L12" s="28">
        <f>4*30</f>
        <v>120</v>
      </c>
      <c r="M12" s="24">
        <f t="shared" ca="1" si="0"/>
        <v>110</v>
      </c>
      <c r="N12" s="22" t="str">
        <f t="shared" ca="1" si="1"/>
        <v>VIGENTE</v>
      </c>
      <c r="O12" s="27">
        <v>45293</v>
      </c>
      <c r="P12" s="27">
        <v>45116</v>
      </c>
      <c r="Q12" s="28">
        <f>4*30</f>
        <v>120</v>
      </c>
      <c r="R12" s="24">
        <f t="shared" ca="1" si="2"/>
        <v>24</v>
      </c>
      <c r="S12" s="22" t="str">
        <f t="shared" ca="1" si="3"/>
        <v>ADITAR</v>
      </c>
      <c r="T12" s="27">
        <v>45207</v>
      </c>
      <c r="U12" s="27"/>
      <c r="V12" s="27"/>
      <c r="W12" s="22">
        <f t="shared" si="4"/>
        <v>0</v>
      </c>
      <c r="X12" s="24">
        <v>7420</v>
      </c>
      <c r="Y12" s="29">
        <v>23113751.510000002</v>
      </c>
      <c r="Z12" s="29">
        <f>[9]CADASTRO!$C$31</f>
        <v>27719.620000000999</v>
      </c>
      <c r="AA12" s="30">
        <f>[9]CADASTRO!$C$32</f>
        <v>0.99852883383532998</v>
      </c>
      <c r="AB12" s="23" t="s">
        <v>52</v>
      </c>
      <c r="AC12" s="23" t="s">
        <v>53</v>
      </c>
      <c r="AD12" s="23" t="s">
        <v>49</v>
      </c>
      <c r="AE12" s="23" t="s">
        <v>49</v>
      </c>
      <c r="AF12" s="22" t="s">
        <v>73</v>
      </c>
      <c r="AG12" s="31">
        <v>3</v>
      </c>
      <c r="AH12" s="31">
        <v>1</v>
      </c>
      <c r="AI12" s="27">
        <v>45140</v>
      </c>
      <c r="AJ12" s="28">
        <f t="shared" ca="1" si="6"/>
        <v>4.8805555555555555</v>
      </c>
      <c r="AK12" s="27">
        <f t="shared" si="7"/>
        <v>46940</v>
      </c>
      <c r="AL12" s="24" t="s">
        <v>113</v>
      </c>
      <c r="AM12" s="31"/>
      <c r="AN12" s="32"/>
    </row>
    <row r="13" spans="1:40" s="33" customFormat="1" ht="74.25" customHeight="1" x14ac:dyDescent="0.25">
      <c r="A13" s="22">
        <v>10</v>
      </c>
      <c r="B13" s="23" t="s">
        <v>45</v>
      </c>
      <c r="C13" s="24" t="s">
        <v>114</v>
      </c>
      <c r="D13" s="22" t="s">
        <v>115</v>
      </c>
      <c r="E13" s="25" t="s">
        <v>116</v>
      </c>
      <c r="F13" s="25"/>
      <c r="G13" s="23" t="s">
        <v>49</v>
      </c>
      <c r="H13" s="24" t="s">
        <v>117</v>
      </c>
      <c r="I13" s="24" t="s">
        <v>118</v>
      </c>
      <c r="J13" s="26">
        <v>44560</v>
      </c>
      <c r="K13" s="27">
        <v>45107</v>
      </c>
      <c r="L13" s="24">
        <f>18*30</f>
        <v>540</v>
      </c>
      <c r="M13" s="24">
        <f t="shared" ca="1" si="0"/>
        <v>106</v>
      </c>
      <c r="N13" s="22" t="str">
        <f t="shared" ca="1" si="1"/>
        <v>VIGENTE</v>
      </c>
      <c r="O13" s="27">
        <v>45289</v>
      </c>
      <c r="P13" s="27">
        <v>45107</v>
      </c>
      <c r="Q13" s="24">
        <f>18*30</f>
        <v>540</v>
      </c>
      <c r="R13" s="24">
        <f t="shared" ca="1" si="2"/>
        <v>106</v>
      </c>
      <c r="S13" s="22" t="str">
        <f t="shared" ca="1" si="3"/>
        <v>VIGENTE</v>
      </c>
      <c r="T13" s="27">
        <v>45289</v>
      </c>
      <c r="U13" s="27"/>
      <c r="V13" s="27"/>
      <c r="W13" s="22">
        <f t="shared" si="4"/>
        <v>0</v>
      </c>
      <c r="X13" s="24">
        <v>80</v>
      </c>
      <c r="Y13" s="29">
        <v>10023000</v>
      </c>
      <c r="Z13" s="29">
        <f>[10]CADASTRO!$C$31</f>
        <v>1392340.15</v>
      </c>
      <c r="AA13" s="30">
        <f>[10]CADASTRO!$C$32</f>
        <v>0.86108548837673404</v>
      </c>
      <c r="AB13" s="23" t="s">
        <v>119</v>
      </c>
      <c r="AC13" s="23" t="s">
        <v>120</v>
      </c>
      <c r="AD13" s="23" t="s">
        <v>49</v>
      </c>
      <c r="AE13" s="23" t="s">
        <v>49</v>
      </c>
      <c r="AF13" s="22" t="s">
        <v>73</v>
      </c>
      <c r="AG13" s="31">
        <v>1</v>
      </c>
      <c r="AH13" s="31">
        <v>1</v>
      </c>
      <c r="AI13" s="27">
        <f>J13</f>
        <v>44560</v>
      </c>
      <c r="AJ13" s="28">
        <f t="shared" ca="1" si="6"/>
        <v>3.2694444444444444</v>
      </c>
      <c r="AK13" s="27">
        <f t="shared" si="7"/>
        <v>46360</v>
      </c>
      <c r="AL13" s="24"/>
      <c r="AM13" s="31"/>
      <c r="AN13" s="32"/>
    </row>
    <row r="14" spans="1:40" s="33" customFormat="1" ht="74.25" customHeight="1" x14ac:dyDescent="0.25">
      <c r="A14" s="22">
        <v>11</v>
      </c>
      <c r="B14" s="23" t="s">
        <v>45</v>
      </c>
      <c r="C14" s="24" t="s">
        <v>121</v>
      </c>
      <c r="D14" s="22" t="s">
        <v>122</v>
      </c>
      <c r="E14" s="25" t="s">
        <v>123</v>
      </c>
      <c r="F14" s="25"/>
      <c r="G14" s="23" t="s">
        <v>49</v>
      </c>
      <c r="H14" s="24" t="s">
        <v>117</v>
      </c>
      <c r="I14" s="24" t="s">
        <v>124</v>
      </c>
      <c r="J14" s="26">
        <v>44840</v>
      </c>
      <c r="K14" s="27">
        <v>45233</v>
      </c>
      <c r="L14" s="28">
        <f>6.7*30</f>
        <v>201</v>
      </c>
      <c r="M14" s="24">
        <f t="shared" ca="1" si="0"/>
        <v>169</v>
      </c>
      <c r="N14" s="22" t="str">
        <f t="shared" ca="1" si="1"/>
        <v>VIGENTE</v>
      </c>
      <c r="O14" s="27">
        <v>45352</v>
      </c>
      <c r="P14" s="27">
        <v>45146</v>
      </c>
      <c r="Q14" s="28">
        <f>4*30</f>
        <v>120</v>
      </c>
      <c r="R14" s="24">
        <f t="shared" ca="1" si="2"/>
        <v>82</v>
      </c>
      <c r="S14" s="22" t="str">
        <f t="shared" ca="1" si="3"/>
        <v>VIGENTE</v>
      </c>
      <c r="T14" s="27">
        <v>45265</v>
      </c>
      <c r="U14" s="27"/>
      <c r="V14" s="27"/>
      <c r="W14" s="22">
        <f t="shared" si="4"/>
        <v>0</v>
      </c>
      <c r="X14" s="24">
        <v>420</v>
      </c>
      <c r="Y14" s="29" t="s">
        <v>125</v>
      </c>
      <c r="Z14" s="29">
        <f>[11]CADASTRO!$C$31</f>
        <v>2603074.66</v>
      </c>
      <c r="AA14" s="30">
        <f>[11]CADASTRO!$C$32</f>
        <v>0.38962671489398099</v>
      </c>
      <c r="AB14" s="23" t="s">
        <v>126</v>
      </c>
      <c r="AC14" s="23" t="s">
        <v>127</v>
      </c>
      <c r="AD14" s="23" t="s">
        <v>128</v>
      </c>
      <c r="AE14" s="23" t="s">
        <v>129</v>
      </c>
      <c r="AF14" s="22" t="s">
        <v>86</v>
      </c>
      <c r="AG14" s="31">
        <v>2</v>
      </c>
      <c r="AH14" s="31">
        <v>0</v>
      </c>
      <c r="AI14" s="27">
        <v>45142</v>
      </c>
      <c r="AJ14" s="28">
        <f t="shared" ca="1" si="6"/>
        <v>4.8861111111111111</v>
      </c>
      <c r="AK14" s="27">
        <f t="shared" si="7"/>
        <v>46942</v>
      </c>
      <c r="AL14" s="24" t="s">
        <v>130</v>
      </c>
      <c r="AM14" s="31" t="s">
        <v>56</v>
      </c>
      <c r="AN14" s="32" t="s">
        <v>131</v>
      </c>
    </row>
    <row r="15" spans="1:40" s="33" customFormat="1" ht="74.25" customHeight="1" x14ac:dyDescent="0.25">
      <c r="A15" s="22">
        <v>12</v>
      </c>
      <c r="B15" s="23" t="s">
        <v>45</v>
      </c>
      <c r="C15" s="24" t="s">
        <v>132</v>
      </c>
      <c r="D15" s="22" t="s">
        <v>133</v>
      </c>
      <c r="E15" s="25" t="s">
        <v>134</v>
      </c>
      <c r="F15" s="25"/>
      <c r="G15" s="23" t="s">
        <v>49</v>
      </c>
      <c r="H15" s="24" t="s">
        <v>135</v>
      </c>
      <c r="I15" s="24" t="s">
        <v>136</v>
      </c>
      <c r="J15" s="26">
        <v>44837</v>
      </c>
      <c r="K15" s="27">
        <v>45005</v>
      </c>
      <c r="L15" s="24">
        <f>27*30</f>
        <v>810</v>
      </c>
      <c r="M15" s="24">
        <f t="shared" ca="1" si="0"/>
        <v>572</v>
      </c>
      <c r="N15" s="22" t="str">
        <f t="shared" ca="1" si="1"/>
        <v>VIGENTE</v>
      </c>
      <c r="O15" s="27">
        <v>45755</v>
      </c>
      <c r="P15" s="27">
        <v>45005</v>
      </c>
      <c r="Q15" s="28">
        <f>24*30</f>
        <v>720</v>
      </c>
      <c r="R15" s="24">
        <f t="shared" ca="1" si="2"/>
        <v>489</v>
      </c>
      <c r="S15" s="22" t="str">
        <f t="shared" ca="1" si="3"/>
        <v>VIGENTE</v>
      </c>
      <c r="T15" s="27">
        <v>45672</v>
      </c>
      <c r="U15" s="27"/>
      <c r="V15" s="27"/>
      <c r="W15" s="22">
        <f t="shared" si="4"/>
        <v>0</v>
      </c>
      <c r="X15" s="24">
        <v>420</v>
      </c>
      <c r="Y15" s="29">
        <v>205263.8</v>
      </c>
      <c r="Z15" s="29">
        <f>[12]CADASTRO!$C$31</f>
        <v>53204618.960000001</v>
      </c>
      <c r="AA15" s="30">
        <f>[12]CADASTRO!$C$32</f>
        <v>1.2346895713199999E-4</v>
      </c>
      <c r="AB15" s="23" t="s">
        <v>53</v>
      </c>
      <c r="AC15" s="23" t="s">
        <v>137</v>
      </c>
      <c r="AD15" s="23" t="s">
        <v>49</v>
      </c>
      <c r="AE15" s="23" t="s">
        <v>49</v>
      </c>
      <c r="AF15" s="22" t="s">
        <v>73</v>
      </c>
      <c r="AG15" s="31">
        <v>2</v>
      </c>
      <c r="AH15" s="31">
        <v>0</v>
      </c>
      <c r="AI15" s="27">
        <v>45139</v>
      </c>
      <c r="AJ15" s="28">
        <f t="shared" ca="1" si="6"/>
        <v>4.8777777777777782</v>
      </c>
      <c r="AK15" s="27">
        <f t="shared" si="7"/>
        <v>46939</v>
      </c>
      <c r="AL15" s="24" t="s">
        <v>138</v>
      </c>
      <c r="AM15" s="31"/>
      <c r="AN15" s="32"/>
    </row>
    <row r="16" spans="1:40" s="33" customFormat="1" ht="74.25" customHeight="1" x14ac:dyDescent="0.25">
      <c r="A16" s="22">
        <v>13</v>
      </c>
      <c r="B16" s="23" t="s">
        <v>45</v>
      </c>
      <c r="C16" s="24" t="s">
        <v>46</v>
      </c>
      <c r="D16" s="22" t="s">
        <v>139</v>
      </c>
      <c r="E16" s="25" t="s">
        <v>140</v>
      </c>
      <c r="F16" s="25"/>
      <c r="G16" s="23" t="s">
        <v>49</v>
      </c>
      <c r="H16" s="24" t="s">
        <v>135</v>
      </c>
      <c r="I16" s="24" t="s">
        <v>141</v>
      </c>
      <c r="J16" s="26">
        <v>44812</v>
      </c>
      <c r="K16" s="27">
        <v>45085</v>
      </c>
      <c r="L16" s="28">
        <v>180</v>
      </c>
      <c r="M16" s="24">
        <f t="shared" ca="1" si="0"/>
        <v>84</v>
      </c>
      <c r="N16" s="22" t="str">
        <f t="shared" ca="1" si="1"/>
        <v>VIGENTE</v>
      </c>
      <c r="O16" s="27">
        <v>45267</v>
      </c>
      <c r="P16" s="27">
        <v>45078</v>
      </c>
      <c r="Q16" s="28">
        <v>180</v>
      </c>
      <c r="R16" s="24">
        <f t="shared" ca="1" si="2"/>
        <v>46</v>
      </c>
      <c r="S16" s="22" t="str">
        <f t="shared" ca="1" si="3"/>
        <v>ADITAR</v>
      </c>
      <c r="T16" s="27">
        <v>45229</v>
      </c>
      <c r="U16" s="27"/>
      <c r="V16" s="27"/>
      <c r="W16" s="22">
        <f t="shared" si="4"/>
        <v>0</v>
      </c>
      <c r="X16" s="24">
        <v>420</v>
      </c>
      <c r="Y16" s="29">
        <v>1137299.6599999999</v>
      </c>
      <c r="Z16" s="29">
        <f>[13]CADASTRO!$C$31</f>
        <v>737512.38</v>
      </c>
      <c r="AA16" s="30">
        <f>[13]CADASTRO!$C$32</f>
        <v>0.351523256412475</v>
      </c>
      <c r="AB16" s="23" t="s">
        <v>52</v>
      </c>
      <c r="AC16" s="23" t="s">
        <v>142</v>
      </c>
      <c r="AD16" s="23" t="s">
        <v>49</v>
      </c>
      <c r="AE16" s="23" t="s">
        <v>49</v>
      </c>
      <c r="AF16" s="22" t="s">
        <v>73</v>
      </c>
      <c r="AG16" s="31">
        <v>0</v>
      </c>
      <c r="AH16" s="31">
        <v>0</v>
      </c>
      <c r="AI16" s="27">
        <f>J16</f>
        <v>44812</v>
      </c>
      <c r="AJ16" s="28">
        <f t="shared" ca="1" si="6"/>
        <v>3.9694444444444446</v>
      </c>
      <c r="AK16" s="27">
        <f t="shared" si="7"/>
        <v>46612</v>
      </c>
      <c r="AL16" s="24"/>
      <c r="AM16" s="31"/>
      <c r="AN16" s="32"/>
    </row>
    <row r="17" spans="1:40" s="33" customFormat="1" ht="74.25" customHeight="1" x14ac:dyDescent="0.25">
      <c r="A17" s="22">
        <v>14</v>
      </c>
      <c r="B17" s="23" t="s">
        <v>45</v>
      </c>
      <c r="C17" s="23" t="s">
        <v>143</v>
      </c>
      <c r="D17" s="22" t="s">
        <v>144</v>
      </c>
      <c r="E17" s="25" t="s">
        <v>145</v>
      </c>
      <c r="F17" s="25"/>
      <c r="G17" s="23" t="s">
        <v>146</v>
      </c>
      <c r="H17" s="24" t="s">
        <v>135</v>
      </c>
      <c r="I17" s="24" t="s">
        <v>136</v>
      </c>
      <c r="J17" s="26">
        <v>44789</v>
      </c>
      <c r="K17" s="27">
        <v>44789</v>
      </c>
      <c r="L17" s="28">
        <f>14*30</f>
        <v>420</v>
      </c>
      <c r="M17" s="24">
        <f t="shared" ca="1" si="0"/>
        <v>26</v>
      </c>
      <c r="N17" s="22" t="str">
        <f t="shared" ca="1" si="1"/>
        <v>ADITAR</v>
      </c>
      <c r="O17" s="27">
        <f>K17+(14*30)</f>
        <v>45209</v>
      </c>
      <c r="P17" s="27">
        <v>44789</v>
      </c>
      <c r="Q17" s="28">
        <f>12*30</f>
        <v>360</v>
      </c>
      <c r="R17" s="24">
        <f t="shared" ca="1" si="2"/>
        <v>26</v>
      </c>
      <c r="S17" s="22" t="str">
        <f t="shared" ca="1" si="3"/>
        <v>ADITAR</v>
      </c>
      <c r="T17" s="27">
        <v>45209</v>
      </c>
      <c r="U17" s="27"/>
      <c r="V17" s="27"/>
      <c r="W17" s="22">
        <f t="shared" si="4"/>
        <v>0</v>
      </c>
      <c r="X17" s="23" t="s">
        <v>147</v>
      </c>
      <c r="Y17" s="29">
        <v>7595000</v>
      </c>
      <c r="Z17" s="29">
        <f>[14]CADASTRO!$C$31</f>
        <v>7045342.0999999996</v>
      </c>
      <c r="AA17" s="30">
        <f>[14]CADASTRO!$C$32</f>
        <v>7.2371020408163345E-2</v>
      </c>
      <c r="AB17" s="23" t="s">
        <v>102</v>
      </c>
      <c r="AC17" s="23" t="s">
        <v>119</v>
      </c>
      <c r="AD17" s="23" t="s">
        <v>49</v>
      </c>
      <c r="AE17" s="23" t="s">
        <v>49</v>
      </c>
      <c r="AF17" s="22" t="s">
        <v>94</v>
      </c>
      <c r="AG17" s="31">
        <v>0</v>
      </c>
      <c r="AH17" s="31">
        <v>0</v>
      </c>
      <c r="AI17" s="27">
        <f>J17</f>
        <v>44789</v>
      </c>
      <c r="AJ17" s="28">
        <f t="shared" ca="1" si="6"/>
        <v>3.9055555555555554</v>
      </c>
      <c r="AK17" s="27">
        <f t="shared" si="7"/>
        <v>46589</v>
      </c>
      <c r="AL17" s="24"/>
      <c r="AM17" s="31"/>
      <c r="AN17" s="34" t="s">
        <v>148</v>
      </c>
    </row>
    <row r="18" spans="1:40" s="33" customFormat="1" ht="74.25" customHeight="1" x14ac:dyDescent="0.25">
      <c r="A18" s="22">
        <v>15</v>
      </c>
      <c r="B18" s="23" t="s">
        <v>45</v>
      </c>
      <c r="C18" s="24" t="s">
        <v>149</v>
      </c>
      <c r="D18" s="22" t="s">
        <v>150</v>
      </c>
      <c r="E18" s="25" t="s">
        <v>151</v>
      </c>
      <c r="F18" s="25"/>
      <c r="G18" s="23" t="s">
        <v>49</v>
      </c>
      <c r="H18" s="24" t="s">
        <v>135</v>
      </c>
      <c r="I18" s="24" t="s">
        <v>141</v>
      </c>
      <c r="J18" s="26">
        <v>44784</v>
      </c>
      <c r="K18" s="27">
        <v>45054</v>
      </c>
      <c r="L18" s="28">
        <f>6*30</f>
        <v>180</v>
      </c>
      <c r="M18" s="24">
        <f t="shared" ca="1" si="0"/>
        <v>50</v>
      </c>
      <c r="N18" s="22" t="str">
        <f t="shared" ca="1" si="1"/>
        <v>ADITAR</v>
      </c>
      <c r="O18" s="27">
        <v>45233</v>
      </c>
      <c r="P18" s="27">
        <v>44972</v>
      </c>
      <c r="Q18" s="28">
        <f>6*30</f>
        <v>180</v>
      </c>
      <c r="R18" s="24">
        <f t="shared" ca="1" si="2"/>
        <v>-32</v>
      </c>
      <c r="S18" s="22" t="str">
        <f t="shared" ca="1" si="3"/>
        <v>EXPIRADO</v>
      </c>
      <c r="T18" s="27">
        <v>45151</v>
      </c>
      <c r="U18" s="27"/>
      <c r="V18" s="27"/>
      <c r="W18" s="22">
        <f t="shared" si="4"/>
        <v>0</v>
      </c>
      <c r="X18" s="23" t="s">
        <v>152</v>
      </c>
      <c r="Y18" s="29">
        <v>4150317</v>
      </c>
      <c r="Z18" s="29">
        <f>[15]CADASTRO!$C$31</f>
        <v>2922184.23</v>
      </c>
      <c r="AA18" s="30">
        <f>[15]CADASTRO!$C$32</f>
        <v>0.20145188483075899</v>
      </c>
      <c r="AB18" s="23" t="s">
        <v>63</v>
      </c>
      <c r="AC18" s="23" t="s">
        <v>153</v>
      </c>
      <c r="AD18" s="23" t="s">
        <v>49</v>
      </c>
      <c r="AE18" s="23" t="s">
        <v>49</v>
      </c>
      <c r="AF18" s="22" t="s">
        <v>86</v>
      </c>
      <c r="AG18" s="31">
        <v>3</v>
      </c>
      <c r="AH18" s="31">
        <v>1</v>
      </c>
      <c r="AI18" s="27">
        <v>45104</v>
      </c>
      <c r="AJ18" s="28">
        <f t="shared" ca="1" si="6"/>
        <v>4.7805555555555559</v>
      </c>
      <c r="AK18" s="27">
        <f t="shared" si="7"/>
        <v>46904</v>
      </c>
      <c r="AL18" s="24" t="s">
        <v>154</v>
      </c>
      <c r="AM18" s="31" t="s">
        <v>56</v>
      </c>
      <c r="AN18" s="32" t="s">
        <v>155</v>
      </c>
    </row>
    <row r="19" spans="1:40" s="33" customFormat="1" ht="74.25" customHeight="1" x14ac:dyDescent="0.25">
      <c r="A19" s="22">
        <v>16</v>
      </c>
      <c r="B19" s="23" t="s">
        <v>45</v>
      </c>
      <c r="C19" s="24" t="s">
        <v>156</v>
      </c>
      <c r="D19" s="22" t="s">
        <v>157</v>
      </c>
      <c r="E19" s="25" t="s">
        <v>158</v>
      </c>
      <c r="F19" s="25"/>
      <c r="G19" s="23" t="s">
        <v>49</v>
      </c>
      <c r="H19" s="24" t="s">
        <v>135</v>
      </c>
      <c r="I19" s="24" t="s">
        <v>141</v>
      </c>
      <c r="J19" s="26">
        <v>44783</v>
      </c>
      <c r="K19" s="27">
        <v>44783</v>
      </c>
      <c r="L19" s="28">
        <f>21*30</f>
        <v>630</v>
      </c>
      <c r="M19" s="24">
        <f t="shared" ca="1" si="0"/>
        <v>229</v>
      </c>
      <c r="N19" s="22" t="str">
        <f t="shared" ca="1" si="1"/>
        <v>VIGENTE</v>
      </c>
      <c r="O19" s="27">
        <v>45412</v>
      </c>
      <c r="P19" s="27">
        <v>44792</v>
      </c>
      <c r="Q19" s="28">
        <f>18*30</f>
        <v>540</v>
      </c>
      <c r="R19" s="24">
        <f t="shared" ca="1" si="2"/>
        <v>148</v>
      </c>
      <c r="S19" s="22" t="str">
        <f t="shared" ca="1" si="3"/>
        <v>VIGENTE</v>
      </c>
      <c r="T19" s="27">
        <v>45331</v>
      </c>
      <c r="U19" s="27"/>
      <c r="V19" s="27"/>
      <c r="W19" s="22">
        <f t="shared" si="4"/>
        <v>0</v>
      </c>
      <c r="X19" s="23" t="s">
        <v>159</v>
      </c>
      <c r="Y19" s="29">
        <v>28618997.329999998</v>
      </c>
      <c r="Z19" s="29">
        <f>[16]CADASTRO!$C$31</f>
        <v>22453046.309999999</v>
      </c>
      <c r="AA19" s="30">
        <f>[16]CADASTRO!$C$32</f>
        <v>0.215449582279268</v>
      </c>
      <c r="AB19" s="23" t="s">
        <v>52</v>
      </c>
      <c r="AC19" s="23" t="s">
        <v>53</v>
      </c>
      <c r="AD19" s="23" t="s">
        <v>49</v>
      </c>
      <c r="AE19" s="23" t="s">
        <v>49</v>
      </c>
      <c r="AF19" s="22" t="s">
        <v>73</v>
      </c>
      <c r="AG19" s="31">
        <v>0</v>
      </c>
      <c r="AH19" s="31">
        <v>0</v>
      </c>
      <c r="AI19" s="27">
        <f>J19</f>
        <v>44783</v>
      </c>
      <c r="AJ19" s="28">
        <f t="shared" ca="1" si="6"/>
        <v>3.8888888888888888</v>
      </c>
      <c r="AK19" s="27">
        <f t="shared" si="7"/>
        <v>46583</v>
      </c>
      <c r="AL19" s="24"/>
      <c r="AM19" s="31"/>
      <c r="AN19" s="32"/>
    </row>
    <row r="20" spans="1:40" s="33" customFormat="1" ht="74.25" customHeight="1" x14ac:dyDescent="0.25">
      <c r="A20" s="22">
        <v>19</v>
      </c>
      <c r="B20" s="23" t="s">
        <v>45</v>
      </c>
      <c r="C20" s="24" t="s">
        <v>156</v>
      </c>
      <c r="D20" s="22" t="s">
        <v>160</v>
      </c>
      <c r="E20" s="25" t="s">
        <v>161</v>
      </c>
      <c r="F20" s="25"/>
      <c r="G20" s="23" t="s">
        <v>49</v>
      </c>
      <c r="H20" s="24" t="s">
        <v>60</v>
      </c>
      <c r="I20" s="24" t="s">
        <v>162</v>
      </c>
      <c r="J20" s="26">
        <v>44746</v>
      </c>
      <c r="K20" s="27">
        <v>44746</v>
      </c>
      <c r="L20" s="28">
        <f>21*30</f>
        <v>630</v>
      </c>
      <c r="M20" s="24">
        <f t="shared" ca="1" si="0"/>
        <v>192</v>
      </c>
      <c r="N20" s="22" t="str">
        <f t="shared" ca="1" si="1"/>
        <v>VIGENTE</v>
      </c>
      <c r="O20" s="27">
        <v>45375</v>
      </c>
      <c r="P20" s="27">
        <v>44781</v>
      </c>
      <c r="Q20" s="28">
        <f>18*30</f>
        <v>540</v>
      </c>
      <c r="R20" s="24">
        <f t="shared" ca="1" si="2"/>
        <v>138</v>
      </c>
      <c r="S20" s="22" t="str">
        <f t="shared" ca="1" si="3"/>
        <v>VIGENTE</v>
      </c>
      <c r="T20" s="27">
        <f>P20+540</f>
        <v>45321</v>
      </c>
      <c r="U20" s="27"/>
      <c r="V20" s="27"/>
      <c r="W20" s="22">
        <f t="shared" si="4"/>
        <v>0</v>
      </c>
      <c r="X20" s="23" t="s">
        <v>163</v>
      </c>
      <c r="Y20" s="29">
        <v>3455856.22</v>
      </c>
      <c r="Z20" s="29">
        <f>[17]CADASTRO!$C$31</f>
        <v>-94099.1899999999</v>
      </c>
      <c r="AA20" s="30">
        <f>[17]CADASTRO!$C$32</f>
        <v>1.0286654829761299</v>
      </c>
      <c r="AB20" s="23" t="s">
        <v>62</v>
      </c>
      <c r="AC20" s="23" t="s">
        <v>49</v>
      </c>
      <c r="AD20" s="23" t="s">
        <v>49</v>
      </c>
      <c r="AE20" s="23" t="s">
        <v>49</v>
      </c>
      <c r="AF20" s="22" t="s">
        <v>54</v>
      </c>
      <c r="AG20" s="31">
        <v>1</v>
      </c>
      <c r="AH20" s="31">
        <v>3</v>
      </c>
      <c r="AI20" s="27">
        <v>45138</v>
      </c>
      <c r="AJ20" s="28">
        <f t="shared" ca="1" si="6"/>
        <v>4.875</v>
      </c>
      <c r="AK20" s="27">
        <f t="shared" si="7"/>
        <v>46938</v>
      </c>
      <c r="AL20" s="24" t="s">
        <v>164</v>
      </c>
      <c r="AM20" s="31" t="s">
        <v>56</v>
      </c>
      <c r="AN20" s="32" t="s">
        <v>165</v>
      </c>
    </row>
    <row r="21" spans="1:40" s="33" customFormat="1" ht="74.25" customHeight="1" x14ac:dyDescent="0.25">
      <c r="A21" s="22">
        <v>20</v>
      </c>
      <c r="B21" s="23" t="s">
        <v>45</v>
      </c>
      <c r="C21" s="24" t="s">
        <v>166</v>
      </c>
      <c r="D21" s="22" t="s">
        <v>167</v>
      </c>
      <c r="E21" s="25" t="s">
        <v>168</v>
      </c>
      <c r="F21" s="25"/>
      <c r="G21" s="23" t="s">
        <v>49</v>
      </c>
      <c r="H21" s="24" t="s">
        <v>78</v>
      </c>
      <c r="I21" s="24" t="s">
        <v>108</v>
      </c>
      <c r="J21" s="26">
        <v>44746</v>
      </c>
      <c r="K21" s="27">
        <v>45016</v>
      </c>
      <c r="L21" s="28">
        <f>6*30</f>
        <v>180</v>
      </c>
      <c r="M21" s="24">
        <f t="shared" ca="1" si="0"/>
        <v>12</v>
      </c>
      <c r="N21" s="22" t="str">
        <f t="shared" ca="1" si="1"/>
        <v>ADITAR</v>
      </c>
      <c r="O21" s="27">
        <v>45195</v>
      </c>
      <c r="P21" s="27">
        <v>44968</v>
      </c>
      <c r="Q21" s="28">
        <f>6*30</f>
        <v>180</v>
      </c>
      <c r="R21" s="24">
        <f t="shared" ca="1" si="2"/>
        <v>-36</v>
      </c>
      <c r="S21" s="22" t="str">
        <f t="shared" ca="1" si="3"/>
        <v>EXPIRADO</v>
      </c>
      <c r="T21" s="27">
        <v>45147</v>
      </c>
      <c r="U21" s="27"/>
      <c r="V21" s="27"/>
      <c r="W21" s="22">
        <f t="shared" si="4"/>
        <v>0</v>
      </c>
      <c r="X21" s="23" t="s">
        <v>169</v>
      </c>
      <c r="Y21" s="29">
        <v>3657777.77</v>
      </c>
      <c r="Z21" s="29">
        <f>[18]CADASTRO!$C$31</f>
        <v>992513.87</v>
      </c>
      <c r="AA21" s="30">
        <f>[18]CADASTRO!$C$32</f>
        <v>0.728656596324604</v>
      </c>
      <c r="AB21" s="23" t="s">
        <v>170</v>
      </c>
      <c r="AC21" s="23"/>
      <c r="AD21" s="23" t="s">
        <v>171</v>
      </c>
      <c r="AE21" s="23" t="s">
        <v>49</v>
      </c>
      <c r="AF21" s="22" t="s">
        <v>64</v>
      </c>
      <c r="AG21" s="31">
        <v>1</v>
      </c>
      <c r="AH21" s="31">
        <v>3</v>
      </c>
      <c r="AI21" s="27">
        <f>J21</f>
        <v>44746</v>
      </c>
      <c r="AJ21" s="28">
        <f t="shared" ca="1" si="6"/>
        <v>3.786111111111111</v>
      </c>
      <c r="AK21" s="27">
        <f t="shared" si="7"/>
        <v>46546</v>
      </c>
      <c r="AL21" s="24"/>
      <c r="AM21" s="31"/>
      <c r="AN21" s="32" t="s">
        <v>172</v>
      </c>
    </row>
    <row r="22" spans="1:40" s="33" customFormat="1" ht="74.25" customHeight="1" x14ac:dyDescent="0.25">
      <c r="A22" s="22">
        <v>21</v>
      </c>
      <c r="B22" s="23" t="s">
        <v>45</v>
      </c>
      <c r="C22" s="24" t="s">
        <v>173</v>
      </c>
      <c r="D22" s="22" t="s">
        <v>174</v>
      </c>
      <c r="E22" s="25" t="s">
        <v>175</v>
      </c>
      <c r="F22" s="25"/>
      <c r="G22" s="23" t="s">
        <v>49</v>
      </c>
      <c r="H22" s="24" t="s">
        <v>117</v>
      </c>
      <c r="I22" s="24" t="s">
        <v>124</v>
      </c>
      <c r="J22" s="26">
        <v>44746</v>
      </c>
      <c r="K22" s="27">
        <v>44746</v>
      </c>
      <c r="L22" s="28">
        <f>16*30</f>
        <v>480</v>
      </c>
      <c r="M22" s="24">
        <f t="shared" ca="1" si="0"/>
        <v>43</v>
      </c>
      <c r="N22" s="22" t="str">
        <f t="shared" ca="1" si="1"/>
        <v>ADITAR</v>
      </c>
      <c r="O22" s="27">
        <f>K22+480</f>
        <v>45226</v>
      </c>
      <c r="P22" s="27">
        <v>44825</v>
      </c>
      <c r="Q22" s="28">
        <f>12*30</f>
        <v>360</v>
      </c>
      <c r="R22" s="24">
        <f t="shared" ca="1" si="2"/>
        <v>2</v>
      </c>
      <c r="S22" s="22" t="str">
        <f t="shared" ca="1" si="3"/>
        <v>ADITAR</v>
      </c>
      <c r="T22" s="27">
        <f>P22+360</f>
        <v>45185</v>
      </c>
      <c r="U22" s="27">
        <v>44883</v>
      </c>
      <c r="V22" s="27">
        <f ca="1">TODAY()</f>
        <v>45183</v>
      </c>
      <c r="W22" s="22">
        <f t="shared" ca="1" si="4"/>
        <v>300</v>
      </c>
      <c r="X22" s="23" t="s">
        <v>176</v>
      </c>
      <c r="Y22" s="29">
        <v>2480726.4900000002</v>
      </c>
      <c r="Z22" s="29">
        <f>[19]CADASTRO!$C$31</f>
        <v>2480726.4900000002</v>
      </c>
      <c r="AA22" s="30">
        <f>[19]CADASTRO!$C$32</f>
        <v>0</v>
      </c>
      <c r="AB22" s="23" t="s">
        <v>137</v>
      </c>
      <c r="AC22" s="23" t="s">
        <v>177</v>
      </c>
      <c r="AD22" s="23" t="s">
        <v>49</v>
      </c>
      <c r="AE22" s="23" t="s">
        <v>49</v>
      </c>
      <c r="AF22" s="22" t="s">
        <v>178</v>
      </c>
      <c r="AG22" s="31">
        <v>0</v>
      </c>
      <c r="AH22" s="31">
        <v>0</v>
      </c>
      <c r="AI22" s="27">
        <f>J22</f>
        <v>44746</v>
      </c>
      <c r="AJ22" s="28">
        <f t="shared" ca="1" si="6"/>
        <v>3.786111111111111</v>
      </c>
      <c r="AK22" s="27">
        <f t="shared" si="7"/>
        <v>46546</v>
      </c>
      <c r="AL22" s="24" t="s">
        <v>179</v>
      </c>
      <c r="AM22" s="31" t="s">
        <v>103</v>
      </c>
      <c r="AN22" s="32" t="s">
        <v>180</v>
      </c>
    </row>
    <row r="23" spans="1:40" s="33" customFormat="1" ht="74.25" customHeight="1" x14ac:dyDescent="0.25">
      <c r="A23" s="22">
        <v>22</v>
      </c>
      <c r="B23" s="23" t="s">
        <v>45</v>
      </c>
      <c r="C23" s="24" t="s">
        <v>46</v>
      </c>
      <c r="D23" s="22" t="s">
        <v>181</v>
      </c>
      <c r="E23" s="25" t="s">
        <v>182</v>
      </c>
      <c r="F23" s="25"/>
      <c r="G23" s="23" t="s">
        <v>49</v>
      </c>
      <c r="H23" s="24" t="s">
        <v>50</v>
      </c>
      <c r="I23" s="24" t="s">
        <v>50</v>
      </c>
      <c r="J23" s="26">
        <v>44729</v>
      </c>
      <c r="K23" s="27">
        <v>45094</v>
      </c>
      <c r="L23" s="28">
        <f>6*30</f>
        <v>180</v>
      </c>
      <c r="M23" s="24">
        <f t="shared" ca="1" si="0"/>
        <v>184</v>
      </c>
      <c r="N23" s="22" t="str">
        <f t="shared" ca="1" si="1"/>
        <v>VIGENTE</v>
      </c>
      <c r="O23" s="27">
        <v>45367</v>
      </c>
      <c r="P23" s="27">
        <v>45172</v>
      </c>
      <c r="Q23" s="28">
        <f>6*30</f>
        <v>180</v>
      </c>
      <c r="R23" s="24">
        <f t="shared" ca="1" si="2"/>
        <v>170</v>
      </c>
      <c r="S23" s="22" t="str">
        <f t="shared" ca="1" si="3"/>
        <v>VIGENTE</v>
      </c>
      <c r="T23" s="27">
        <v>45353</v>
      </c>
      <c r="U23" s="27"/>
      <c r="V23" s="27"/>
      <c r="W23" s="22">
        <f t="shared" si="4"/>
        <v>0</v>
      </c>
      <c r="X23" s="23" t="s">
        <v>183</v>
      </c>
      <c r="Y23" s="29">
        <v>1865629.23</v>
      </c>
      <c r="Z23" s="29">
        <f>[20]CADASTRO!$C$31</f>
        <v>995769.96</v>
      </c>
      <c r="AA23" s="30">
        <f>[20]CADASTRO!$C$32</f>
        <v>0.33409370739760602</v>
      </c>
      <c r="AB23" s="23" t="s">
        <v>126</v>
      </c>
      <c r="AC23" s="23" t="s">
        <v>127</v>
      </c>
      <c r="AD23" s="23" t="s">
        <v>49</v>
      </c>
      <c r="AE23" s="23" t="s">
        <v>49</v>
      </c>
      <c r="AF23" s="22" t="s">
        <v>73</v>
      </c>
      <c r="AG23" s="31">
        <v>3</v>
      </c>
      <c r="AH23" s="31">
        <v>0</v>
      </c>
      <c r="AI23" s="27">
        <v>45155</v>
      </c>
      <c r="AJ23" s="28">
        <f t="shared" ca="1" si="6"/>
        <v>4.9222222222222225</v>
      </c>
      <c r="AK23" s="27">
        <f t="shared" si="7"/>
        <v>46955</v>
      </c>
      <c r="AL23" s="24" t="s">
        <v>184</v>
      </c>
      <c r="AM23" s="31"/>
      <c r="AN23" s="32"/>
    </row>
    <row r="24" spans="1:40" s="33" customFormat="1" ht="74.25" customHeight="1" x14ac:dyDescent="0.25">
      <c r="A24" s="22">
        <v>23</v>
      </c>
      <c r="B24" s="23" t="s">
        <v>45</v>
      </c>
      <c r="C24" s="24" t="s">
        <v>166</v>
      </c>
      <c r="D24" s="22" t="s">
        <v>185</v>
      </c>
      <c r="E24" s="25" t="s">
        <v>186</v>
      </c>
      <c r="F24" s="25"/>
      <c r="G24" s="23" t="s">
        <v>146</v>
      </c>
      <c r="H24" s="24" t="s">
        <v>50</v>
      </c>
      <c r="I24" s="24" t="s">
        <v>50</v>
      </c>
      <c r="J24" s="26">
        <v>44707</v>
      </c>
      <c r="K24" s="27">
        <v>45133</v>
      </c>
      <c r="L24" s="28">
        <f>12*30</f>
        <v>360</v>
      </c>
      <c r="M24" s="24">
        <f t="shared" ca="1" si="0"/>
        <v>315</v>
      </c>
      <c r="N24" s="22" t="str">
        <f t="shared" ca="1" si="1"/>
        <v>VIGENTE</v>
      </c>
      <c r="O24" s="27">
        <v>45498</v>
      </c>
      <c r="P24" s="27">
        <v>45108</v>
      </c>
      <c r="Q24" s="28">
        <f>10*30</f>
        <v>300</v>
      </c>
      <c r="R24" s="24">
        <f t="shared" ca="1" si="2"/>
        <v>260</v>
      </c>
      <c r="S24" s="22" t="str">
        <f t="shared" ca="1" si="3"/>
        <v>VIGENTE</v>
      </c>
      <c r="T24" s="27">
        <v>45443</v>
      </c>
      <c r="U24" s="27"/>
      <c r="V24" s="27"/>
      <c r="W24" s="22">
        <f t="shared" si="4"/>
        <v>0</v>
      </c>
      <c r="X24" s="24">
        <v>5500</v>
      </c>
      <c r="Y24" s="29">
        <v>3722221.66</v>
      </c>
      <c r="Z24" s="29">
        <f>[21]CADASTRO!$C$31</f>
        <v>425159.05</v>
      </c>
      <c r="AA24" s="30">
        <f>[21]CADASTRO!$C$32</f>
        <v>0.85722268226334697</v>
      </c>
      <c r="AB24" s="23" t="s">
        <v>187</v>
      </c>
      <c r="AC24" s="23" t="s">
        <v>188</v>
      </c>
      <c r="AD24" s="23" t="s">
        <v>49</v>
      </c>
      <c r="AE24" s="23" t="s">
        <v>49</v>
      </c>
      <c r="AF24" s="22" t="s">
        <v>73</v>
      </c>
      <c r="AG24" s="31">
        <v>2</v>
      </c>
      <c r="AH24" s="31">
        <v>0</v>
      </c>
      <c r="AI24" s="27">
        <f>J24</f>
        <v>44707</v>
      </c>
      <c r="AJ24" s="28">
        <f t="shared" ca="1" si="6"/>
        <v>3.6777777777777776</v>
      </c>
      <c r="AK24" s="27">
        <f t="shared" si="7"/>
        <v>46507</v>
      </c>
      <c r="AL24" s="24" t="s">
        <v>189</v>
      </c>
      <c r="AM24" s="31"/>
      <c r="AN24" s="32"/>
    </row>
    <row r="25" spans="1:40" s="33" customFormat="1" ht="74.25" customHeight="1" x14ac:dyDescent="0.25">
      <c r="A25" s="22">
        <v>24</v>
      </c>
      <c r="B25" s="23" t="s">
        <v>45</v>
      </c>
      <c r="C25" s="24" t="s">
        <v>190</v>
      </c>
      <c r="D25" s="22" t="s">
        <v>191</v>
      </c>
      <c r="E25" s="25" t="s">
        <v>192</v>
      </c>
      <c r="F25" s="25"/>
      <c r="G25" s="23" t="s">
        <v>49</v>
      </c>
      <c r="H25" s="24" t="s">
        <v>50</v>
      </c>
      <c r="I25" s="24" t="s">
        <v>193</v>
      </c>
      <c r="J25" s="26">
        <v>44700</v>
      </c>
      <c r="K25" s="27">
        <v>45210</v>
      </c>
      <c r="L25" s="28">
        <f>3*30</f>
        <v>90</v>
      </c>
      <c r="M25" s="24">
        <f t="shared" ca="1" si="0"/>
        <v>86</v>
      </c>
      <c r="N25" s="22" t="str">
        <f t="shared" ca="1" si="1"/>
        <v>VIGENTE</v>
      </c>
      <c r="O25" s="27">
        <v>45269</v>
      </c>
      <c r="P25" s="27">
        <v>45121</v>
      </c>
      <c r="Q25" s="28">
        <f>2*30</f>
        <v>60</v>
      </c>
      <c r="R25" s="24">
        <f t="shared" ca="1" si="2"/>
        <v>-3</v>
      </c>
      <c r="S25" s="22" t="str">
        <f t="shared" ca="1" si="3"/>
        <v>EXPIRADO</v>
      </c>
      <c r="T25" s="27">
        <v>45180</v>
      </c>
      <c r="U25" s="27"/>
      <c r="V25" s="27"/>
      <c r="W25" s="22">
        <f t="shared" si="4"/>
        <v>0</v>
      </c>
      <c r="X25" s="23" t="s">
        <v>194</v>
      </c>
      <c r="Y25" s="35">
        <v>12896932.720000001</v>
      </c>
      <c r="Z25" s="29">
        <f>[22]CADASTRO!$C$31</f>
        <v>4584911.97</v>
      </c>
      <c r="AA25" s="30">
        <f>[22]CADASTRO!$C$32</f>
        <v>0.64077622613519503</v>
      </c>
      <c r="AB25" s="23" t="s">
        <v>137</v>
      </c>
      <c r="AC25" s="23" t="s">
        <v>53</v>
      </c>
      <c r="AD25" s="23" t="s">
        <v>49</v>
      </c>
      <c r="AE25" s="23" t="s">
        <v>49</v>
      </c>
      <c r="AF25" s="22" t="s">
        <v>86</v>
      </c>
      <c r="AG25" s="31">
        <v>4</v>
      </c>
      <c r="AH25" s="31">
        <v>2</v>
      </c>
      <c r="AI25" s="27">
        <v>45117</v>
      </c>
      <c r="AJ25" s="28">
        <f t="shared" ca="1" si="6"/>
        <v>4.8166666666666664</v>
      </c>
      <c r="AK25" s="27">
        <f t="shared" si="7"/>
        <v>46917</v>
      </c>
      <c r="AL25" s="23" t="s">
        <v>195</v>
      </c>
      <c r="AM25" s="31" t="s">
        <v>56</v>
      </c>
      <c r="AN25" s="32" t="s">
        <v>196</v>
      </c>
    </row>
    <row r="26" spans="1:40" s="33" customFormat="1" ht="69.75" customHeight="1" x14ac:dyDescent="0.25">
      <c r="A26" s="22">
        <v>25</v>
      </c>
      <c r="B26" s="23" t="s">
        <v>45</v>
      </c>
      <c r="C26" s="24" t="s">
        <v>81</v>
      </c>
      <c r="D26" s="22" t="s">
        <v>197</v>
      </c>
      <c r="E26" s="25" t="s">
        <v>198</v>
      </c>
      <c r="F26" s="25"/>
      <c r="G26" s="23" t="s">
        <v>49</v>
      </c>
      <c r="H26" s="24" t="s">
        <v>78</v>
      </c>
      <c r="I26" s="24" t="s">
        <v>112</v>
      </c>
      <c r="J26" s="26">
        <v>44684</v>
      </c>
      <c r="K26" s="27">
        <v>45134</v>
      </c>
      <c r="L26" s="28">
        <f>15*30</f>
        <v>450</v>
      </c>
      <c r="M26" s="24">
        <f t="shared" ca="1" si="0"/>
        <v>220</v>
      </c>
      <c r="N26" s="22" t="str">
        <f t="shared" ca="1" si="1"/>
        <v>VIGENTE</v>
      </c>
      <c r="O26" s="27">
        <v>45403</v>
      </c>
      <c r="P26" s="27">
        <v>45103</v>
      </c>
      <c r="Q26" s="28">
        <f>12*30</f>
        <v>360</v>
      </c>
      <c r="R26" s="24">
        <f t="shared" ca="1" si="2"/>
        <v>99</v>
      </c>
      <c r="S26" s="22" t="str">
        <f t="shared" ca="1" si="3"/>
        <v>VIGENTE</v>
      </c>
      <c r="T26" s="27">
        <v>45282</v>
      </c>
      <c r="U26" s="27"/>
      <c r="V26" s="27"/>
      <c r="W26" s="22">
        <f t="shared" si="4"/>
        <v>0</v>
      </c>
      <c r="X26" s="23" t="s">
        <v>199</v>
      </c>
      <c r="Y26" s="29">
        <v>10094096.279999999</v>
      </c>
      <c r="Z26" s="29">
        <f>[23]CADASTRO!$C$31</f>
        <v>2781490.76</v>
      </c>
      <c r="AA26" s="30">
        <f>[23]CADASTRO!$C$32</f>
        <v>0.65562823325492203</v>
      </c>
      <c r="AB26" s="23" t="s">
        <v>52</v>
      </c>
      <c r="AC26" s="23" t="s">
        <v>53</v>
      </c>
      <c r="AD26" s="23" t="s">
        <v>49</v>
      </c>
      <c r="AE26" s="23" t="s">
        <v>49</v>
      </c>
      <c r="AF26" s="22" t="s">
        <v>86</v>
      </c>
      <c r="AG26" s="31">
        <v>3</v>
      </c>
      <c r="AH26" s="31">
        <v>0</v>
      </c>
      <c r="AI26" s="27">
        <v>45120</v>
      </c>
      <c r="AJ26" s="28">
        <f t="shared" ca="1" si="6"/>
        <v>4.8250000000000002</v>
      </c>
      <c r="AK26" s="27">
        <f t="shared" si="7"/>
        <v>46920</v>
      </c>
      <c r="AL26" s="24" t="s">
        <v>200</v>
      </c>
      <c r="AM26" s="31" t="s">
        <v>56</v>
      </c>
      <c r="AN26" s="32" t="s">
        <v>201</v>
      </c>
    </row>
    <row r="27" spans="1:40" s="33" customFormat="1" ht="74.25" customHeight="1" x14ac:dyDescent="0.25">
      <c r="A27" s="22">
        <v>26</v>
      </c>
      <c r="B27" s="23" t="s">
        <v>45</v>
      </c>
      <c r="C27" s="24" t="s">
        <v>202</v>
      </c>
      <c r="D27" s="22" t="s">
        <v>203</v>
      </c>
      <c r="E27" s="25" t="s">
        <v>204</v>
      </c>
      <c r="F27" s="25"/>
      <c r="G27" s="23" t="s">
        <v>49</v>
      </c>
      <c r="H27" s="24" t="s">
        <v>78</v>
      </c>
      <c r="I27" s="24" t="s">
        <v>108</v>
      </c>
      <c r="J27" s="26">
        <v>45045</v>
      </c>
      <c r="K27" s="27">
        <v>45100</v>
      </c>
      <c r="L27" s="28">
        <f>15*30</f>
        <v>450</v>
      </c>
      <c r="M27" s="24">
        <f t="shared" ca="1" si="0"/>
        <v>126</v>
      </c>
      <c r="N27" s="22" t="str">
        <f t="shared" ca="1" si="1"/>
        <v>VIGENTE</v>
      </c>
      <c r="O27" s="27">
        <v>45309</v>
      </c>
      <c r="P27" s="27">
        <v>45072</v>
      </c>
      <c r="Q27" s="28">
        <f>12*30</f>
        <v>360</v>
      </c>
      <c r="R27" s="24">
        <f t="shared" ca="1" si="2"/>
        <v>68</v>
      </c>
      <c r="S27" s="22" t="str">
        <f t="shared" ca="1" si="3"/>
        <v>VIGENTE</v>
      </c>
      <c r="T27" s="27">
        <v>45251</v>
      </c>
      <c r="U27" s="27"/>
      <c r="V27" s="27"/>
      <c r="W27" s="22">
        <f t="shared" si="4"/>
        <v>0</v>
      </c>
      <c r="X27" s="23" t="s">
        <v>205</v>
      </c>
      <c r="Y27" s="29">
        <v>4678267.6100000003</v>
      </c>
      <c r="Z27" s="29">
        <f>[24]CADASTRO!$C$31</f>
        <v>2733754.19</v>
      </c>
      <c r="AA27" s="30">
        <f>[24]CADASTRO!$C$32</f>
        <v>0.36749765243368299</v>
      </c>
      <c r="AB27" s="23" t="s">
        <v>170</v>
      </c>
      <c r="AC27" s="23"/>
      <c r="AD27" s="23" t="s">
        <v>49</v>
      </c>
      <c r="AE27" s="23" t="s">
        <v>49</v>
      </c>
      <c r="AF27" s="22" t="s">
        <v>73</v>
      </c>
      <c r="AG27" s="31">
        <v>2</v>
      </c>
      <c r="AH27" s="31">
        <v>2</v>
      </c>
      <c r="AI27" s="27">
        <f>J27</f>
        <v>45045</v>
      </c>
      <c r="AJ27" s="28">
        <f t="shared" ca="1" si="6"/>
        <v>4.6166666666666663</v>
      </c>
      <c r="AK27" s="27">
        <f t="shared" si="7"/>
        <v>46845</v>
      </c>
      <c r="AL27" s="24" t="s">
        <v>206</v>
      </c>
      <c r="AM27" s="31"/>
      <c r="AN27" s="32"/>
    </row>
    <row r="28" spans="1:40" s="33" customFormat="1" ht="74.25" customHeight="1" x14ac:dyDescent="0.25">
      <c r="A28" s="22">
        <v>27</v>
      </c>
      <c r="B28" s="23" t="s">
        <v>45</v>
      </c>
      <c r="C28" s="24" t="s">
        <v>166</v>
      </c>
      <c r="D28" s="22" t="s">
        <v>207</v>
      </c>
      <c r="E28" s="25" t="s">
        <v>208</v>
      </c>
      <c r="F28" s="25"/>
      <c r="G28" s="23" t="s">
        <v>49</v>
      </c>
      <c r="H28" s="24" t="s">
        <v>117</v>
      </c>
      <c r="I28" s="24" t="s">
        <v>124</v>
      </c>
      <c r="J28" s="26">
        <v>44679</v>
      </c>
      <c r="K28" s="27">
        <v>45219</v>
      </c>
      <c r="L28" s="28">
        <f>2*30</f>
        <v>60</v>
      </c>
      <c r="M28" s="24">
        <f t="shared" ca="1" si="0"/>
        <v>155</v>
      </c>
      <c r="N28" s="22" t="str">
        <f t="shared" ca="1" si="1"/>
        <v>VIGENTE</v>
      </c>
      <c r="O28" s="27">
        <v>45338</v>
      </c>
      <c r="P28" s="27">
        <v>45149</v>
      </c>
      <c r="Q28" s="28">
        <f>2*30</f>
        <v>60</v>
      </c>
      <c r="R28" s="24">
        <f t="shared" ca="1" si="2"/>
        <v>85</v>
      </c>
      <c r="S28" s="22" t="str">
        <f t="shared" ca="1" si="3"/>
        <v>VIGENTE</v>
      </c>
      <c r="T28" s="27">
        <v>45268</v>
      </c>
      <c r="U28" s="27"/>
      <c r="V28" s="27"/>
      <c r="W28" s="22">
        <f t="shared" si="4"/>
        <v>0</v>
      </c>
      <c r="X28" s="23" t="s">
        <v>209</v>
      </c>
      <c r="Y28" s="29">
        <v>7126127.6299999999</v>
      </c>
      <c r="Z28" s="29">
        <f>[25]CADASTRO!$C$31</f>
        <v>2331629.29</v>
      </c>
      <c r="AA28" s="30">
        <f>[25]CADASTRO!$C$32</f>
        <v>0.66739844461255904</v>
      </c>
      <c r="AB28" s="23" t="s">
        <v>137</v>
      </c>
      <c r="AC28" s="23" t="s">
        <v>177</v>
      </c>
      <c r="AD28" s="23" t="s">
        <v>49</v>
      </c>
      <c r="AE28" s="23" t="s">
        <v>49</v>
      </c>
      <c r="AF28" s="22" t="s">
        <v>54</v>
      </c>
      <c r="AG28" s="31">
        <v>5</v>
      </c>
      <c r="AH28" s="31">
        <v>2</v>
      </c>
      <c r="AI28" s="27">
        <v>45174</v>
      </c>
      <c r="AJ28" s="28">
        <f t="shared" ca="1" si="6"/>
        <v>4.9749999999999996</v>
      </c>
      <c r="AK28" s="27">
        <f t="shared" si="7"/>
        <v>46974</v>
      </c>
      <c r="AL28" s="24" t="s">
        <v>210</v>
      </c>
      <c r="AM28" s="31" t="s">
        <v>56</v>
      </c>
      <c r="AN28" s="32" t="s">
        <v>211</v>
      </c>
    </row>
    <row r="29" spans="1:40" s="33" customFormat="1" ht="74.25" customHeight="1" x14ac:dyDescent="0.25">
      <c r="A29" s="22">
        <v>28</v>
      </c>
      <c r="B29" s="23" t="s">
        <v>45</v>
      </c>
      <c r="C29" s="24" t="s">
        <v>114</v>
      </c>
      <c r="D29" s="22" t="s">
        <v>212</v>
      </c>
      <c r="E29" s="25" t="s">
        <v>213</v>
      </c>
      <c r="F29" s="25"/>
      <c r="G29" s="23" t="s">
        <v>146</v>
      </c>
      <c r="H29" s="24" t="s">
        <v>71</v>
      </c>
      <c r="I29" s="24" t="s">
        <v>71</v>
      </c>
      <c r="J29" s="26">
        <v>44474</v>
      </c>
      <c r="K29" s="27">
        <v>44839</v>
      </c>
      <c r="L29" s="24">
        <f>12*30</f>
        <v>360</v>
      </c>
      <c r="M29" s="24">
        <f t="shared" ca="1" si="0"/>
        <v>20</v>
      </c>
      <c r="N29" s="22" t="str">
        <f t="shared" ca="1" si="1"/>
        <v>ADITAR</v>
      </c>
      <c r="O29" s="27">
        <v>45203</v>
      </c>
      <c r="P29" s="27">
        <v>44839</v>
      </c>
      <c r="Q29" s="24">
        <f>12*30</f>
        <v>360</v>
      </c>
      <c r="R29" s="24">
        <f t="shared" ca="1" si="2"/>
        <v>20</v>
      </c>
      <c r="S29" s="22" t="str">
        <f t="shared" ca="1" si="3"/>
        <v>ADITAR</v>
      </c>
      <c r="T29" s="27">
        <v>45203</v>
      </c>
      <c r="U29" s="27"/>
      <c r="V29" s="27"/>
      <c r="W29" s="22">
        <f t="shared" si="4"/>
        <v>0</v>
      </c>
      <c r="X29" s="23" t="s">
        <v>214</v>
      </c>
      <c r="Y29" s="29">
        <v>12831296.539999999</v>
      </c>
      <c r="Z29" s="29">
        <f>[26]CADASTRO!$C$31</f>
        <v>466466.12999999902</v>
      </c>
      <c r="AA29" s="30">
        <f>[26]CADASTRO!$C$32</f>
        <v>0.96232493677112096</v>
      </c>
      <c r="AB29" s="23" t="s">
        <v>120</v>
      </c>
      <c r="AC29" s="23" t="s">
        <v>119</v>
      </c>
      <c r="AD29" s="23" t="s">
        <v>49</v>
      </c>
      <c r="AE29" s="23" t="s">
        <v>49</v>
      </c>
      <c r="AF29" s="22" t="s">
        <v>64</v>
      </c>
      <c r="AG29" s="31">
        <v>2</v>
      </c>
      <c r="AH29" s="31">
        <v>0</v>
      </c>
      <c r="AI29" s="27">
        <f>J29</f>
        <v>44474</v>
      </c>
      <c r="AJ29" s="28">
        <f t="shared" ca="1" si="6"/>
        <v>3.0305555555555554</v>
      </c>
      <c r="AK29" s="27">
        <f t="shared" si="7"/>
        <v>46274</v>
      </c>
      <c r="AL29" s="24" t="s">
        <v>215</v>
      </c>
      <c r="AM29" s="31" t="s">
        <v>56</v>
      </c>
      <c r="AN29" s="32" t="s">
        <v>216</v>
      </c>
    </row>
    <row r="30" spans="1:40" s="33" customFormat="1" ht="74.25" customHeight="1" x14ac:dyDescent="0.25">
      <c r="A30" s="22">
        <v>29</v>
      </c>
      <c r="B30" s="23" t="s">
        <v>45</v>
      </c>
      <c r="C30" s="24" t="s">
        <v>46</v>
      </c>
      <c r="D30" s="22" t="s">
        <v>217</v>
      </c>
      <c r="E30" s="25" t="s">
        <v>218</v>
      </c>
      <c r="F30" s="25"/>
      <c r="G30" s="23" t="s">
        <v>49</v>
      </c>
      <c r="H30" s="24" t="s">
        <v>60</v>
      </c>
      <c r="I30" s="24" t="s">
        <v>219</v>
      </c>
      <c r="J30" s="26">
        <v>44837</v>
      </c>
      <c r="K30" s="27">
        <v>44837</v>
      </c>
      <c r="L30" s="24">
        <f>11*30</f>
        <v>330</v>
      </c>
      <c r="M30" s="24">
        <f t="shared" ca="1" si="0"/>
        <v>-16</v>
      </c>
      <c r="N30" s="22" t="str">
        <f t="shared" ca="1" si="1"/>
        <v>EXPIRADO</v>
      </c>
      <c r="O30" s="27">
        <f>K30+330</f>
        <v>45167</v>
      </c>
      <c r="P30" s="27"/>
      <c r="Q30" s="24">
        <f>8*30</f>
        <v>240</v>
      </c>
      <c r="R30" s="24">
        <f t="shared" ca="1" si="2"/>
        <v>-44943</v>
      </c>
      <c r="S30" s="22" t="str">
        <f t="shared" ca="1" si="3"/>
        <v>EXPIRADO</v>
      </c>
      <c r="T30" s="27">
        <f>P30+240</f>
        <v>240</v>
      </c>
      <c r="U30" s="27">
        <v>44958</v>
      </c>
      <c r="V30" s="27">
        <f ca="1">TODAY()</f>
        <v>45183</v>
      </c>
      <c r="W30" s="22">
        <f t="shared" ca="1" si="4"/>
        <v>225</v>
      </c>
      <c r="X30" s="24">
        <v>420</v>
      </c>
      <c r="Y30" s="29">
        <v>3372884.74</v>
      </c>
      <c r="Z30" s="29">
        <f>[27]CADASTRO!$C$31</f>
        <v>3372884.74</v>
      </c>
      <c r="AA30" s="30">
        <f>[27]CADASTRO!$C$32</f>
        <v>0</v>
      </c>
      <c r="AB30" s="23" t="s">
        <v>63</v>
      </c>
      <c r="AC30" s="23" t="s">
        <v>52</v>
      </c>
      <c r="AD30" s="23" t="s">
        <v>49</v>
      </c>
      <c r="AE30" s="23" t="s">
        <v>49</v>
      </c>
      <c r="AF30" s="22" t="s">
        <v>94</v>
      </c>
      <c r="AG30" s="31">
        <v>0</v>
      </c>
      <c r="AH30" s="31">
        <v>0</v>
      </c>
      <c r="AI30" s="27">
        <f>J30</f>
        <v>44837</v>
      </c>
      <c r="AJ30" s="28">
        <f t="shared" ca="1" si="6"/>
        <v>4.0388888888888888</v>
      </c>
      <c r="AK30" s="27">
        <f t="shared" si="7"/>
        <v>46637</v>
      </c>
      <c r="AL30" s="24"/>
      <c r="AM30" s="31" t="s">
        <v>103</v>
      </c>
      <c r="AN30" s="32" t="s">
        <v>220</v>
      </c>
    </row>
    <row r="31" spans="1:40" s="33" customFormat="1" ht="74.25" customHeight="1" x14ac:dyDescent="0.25">
      <c r="A31" s="22">
        <v>30</v>
      </c>
      <c r="B31" s="23" t="s">
        <v>45</v>
      </c>
      <c r="C31" s="24" t="s">
        <v>221</v>
      </c>
      <c r="D31" s="22" t="s">
        <v>222</v>
      </c>
      <c r="E31" s="25" t="s">
        <v>223</v>
      </c>
      <c r="F31" s="25"/>
      <c r="G31" s="23" t="s">
        <v>49</v>
      </c>
      <c r="H31" s="24" t="s">
        <v>71</v>
      </c>
      <c r="I31" s="24" t="s">
        <v>71</v>
      </c>
      <c r="J31" s="26">
        <v>44834</v>
      </c>
      <c r="K31" s="27">
        <v>44834</v>
      </c>
      <c r="L31" s="24">
        <f>12*30</f>
        <v>360</v>
      </c>
      <c r="M31" s="24">
        <f t="shared" ca="1" si="0"/>
        <v>15</v>
      </c>
      <c r="N31" s="22" t="str">
        <f t="shared" ca="1" si="1"/>
        <v>ADITAR</v>
      </c>
      <c r="O31" s="27">
        <v>45198</v>
      </c>
      <c r="P31" s="27" t="s">
        <v>71</v>
      </c>
      <c r="Q31" s="27"/>
      <c r="R31" s="24" t="str">
        <f t="shared" ca="1" si="2"/>
        <v/>
      </c>
      <c r="S31" s="22" t="str">
        <f t="shared" ca="1" si="3"/>
        <v>VIGENTE</v>
      </c>
      <c r="T31" s="27"/>
      <c r="U31" s="27"/>
      <c r="V31" s="27"/>
      <c r="W31" s="22">
        <f t="shared" si="4"/>
        <v>0</v>
      </c>
      <c r="X31" s="24">
        <v>80</v>
      </c>
      <c r="Y31" s="29" t="s">
        <v>224</v>
      </c>
      <c r="Z31" s="29">
        <f>[28]CADASTRO!$C$25</f>
        <v>42952.5</v>
      </c>
      <c r="AA31" s="30">
        <f>[28]CADASTRO!$C$26</f>
        <v>0</v>
      </c>
      <c r="AB31" s="23" t="s">
        <v>72</v>
      </c>
      <c r="AC31" s="23" t="s">
        <v>49</v>
      </c>
      <c r="AD31" s="23" t="s">
        <v>49</v>
      </c>
      <c r="AE31" s="23" t="s">
        <v>49</v>
      </c>
      <c r="AF31" s="22" t="s">
        <v>73</v>
      </c>
      <c r="AG31" s="31">
        <v>0</v>
      </c>
      <c r="AH31" s="31">
        <v>0</v>
      </c>
      <c r="AI31" s="27">
        <f>J31</f>
        <v>44834</v>
      </c>
      <c r="AJ31" s="28">
        <f t="shared" ca="1" si="6"/>
        <v>4.0305555555555559</v>
      </c>
      <c r="AK31" s="27">
        <f t="shared" si="7"/>
        <v>46634</v>
      </c>
      <c r="AL31" s="24"/>
      <c r="AM31" s="31"/>
      <c r="AN31" s="32"/>
    </row>
    <row r="32" spans="1:40" s="33" customFormat="1" ht="74.25" customHeight="1" x14ac:dyDescent="0.25">
      <c r="A32" s="22">
        <v>31</v>
      </c>
      <c r="B32" s="23" t="s">
        <v>45</v>
      </c>
      <c r="C32" s="24" t="s">
        <v>225</v>
      </c>
      <c r="D32" s="22" t="s">
        <v>226</v>
      </c>
      <c r="E32" s="25" t="s">
        <v>227</v>
      </c>
      <c r="F32" s="25"/>
      <c r="G32" s="23" t="s">
        <v>49</v>
      </c>
      <c r="H32" s="24" t="s">
        <v>78</v>
      </c>
      <c r="I32" s="24" t="s">
        <v>228</v>
      </c>
      <c r="J32" s="26">
        <v>44858</v>
      </c>
      <c r="K32" s="27">
        <v>45188</v>
      </c>
      <c r="L32" s="24">
        <f>5*30</f>
        <v>150</v>
      </c>
      <c r="M32" s="24">
        <f t="shared" ca="1" si="0"/>
        <v>126</v>
      </c>
      <c r="N32" s="22" t="str">
        <f t="shared" ca="1" si="1"/>
        <v>VIGENTE</v>
      </c>
      <c r="O32" s="27">
        <v>45309</v>
      </c>
      <c r="P32" s="27">
        <v>45182</v>
      </c>
      <c r="Q32" s="24">
        <f>5*30</f>
        <v>150</v>
      </c>
      <c r="R32" s="24">
        <f t="shared" ca="1" si="2"/>
        <v>120</v>
      </c>
      <c r="S32" s="22" t="str">
        <f t="shared" ca="1" si="3"/>
        <v>VIGENTE</v>
      </c>
      <c r="T32" s="27">
        <v>45303</v>
      </c>
      <c r="U32" s="27"/>
      <c r="V32" s="27"/>
      <c r="W32" s="22">
        <f t="shared" si="4"/>
        <v>0</v>
      </c>
      <c r="X32" s="24">
        <v>404</v>
      </c>
      <c r="Y32" s="29">
        <v>4298907.8099999996</v>
      </c>
      <c r="Z32" s="29">
        <f>[29]CADASTRO!$C$31</f>
        <v>3695058.29</v>
      </c>
      <c r="AA32" s="30">
        <f>[29]CADASTRO!$C$32</f>
        <v>0.140465798916493</v>
      </c>
      <c r="AB32" s="23" t="s">
        <v>63</v>
      </c>
      <c r="AC32" s="23" t="s">
        <v>62</v>
      </c>
      <c r="AD32" s="23" t="s">
        <v>49</v>
      </c>
      <c r="AE32" s="23" t="s">
        <v>49</v>
      </c>
      <c r="AF32" s="22" t="s">
        <v>229</v>
      </c>
      <c r="AG32" s="31">
        <v>2</v>
      </c>
      <c r="AH32" s="31">
        <v>0</v>
      </c>
      <c r="AI32" s="27">
        <v>45049</v>
      </c>
      <c r="AJ32" s="28">
        <f t="shared" ca="1" si="6"/>
        <v>4.6277777777777782</v>
      </c>
      <c r="AK32" s="27">
        <f t="shared" si="7"/>
        <v>46849</v>
      </c>
      <c r="AL32" s="24" t="s">
        <v>230</v>
      </c>
      <c r="AM32" s="31" t="s">
        <v>56</v>
      </c>
      <c r="AN32" s="32" t="s">
        <v>231</v>
      </c>
    </row>
    <row r="33" spans="1:40" s="33" customFormat="1" ht="74.25" customHeight="1" x14ac:dyDescent="0.25">
      <c r="A33" s="22">
        <v>32</v>
      </c>
      <c r="B33" s="23" t="s">
        <v>45</v>
      </c>
      <c r="C33" s="24" t="s">
        <v>232</v>
      </c>
      <c r="D33" s="22" t="s">
        <v>233</v>
      </c>
      <c r="E33" s="25" t="s">
        <v>234</v>
      </c>
      <c r="F33" s="25"/>
      <c r="G33" s="23" t="s">
        <v>146</v>
      </c>
      <c r="H33" s="24" t="s">
        <v>50</v>
      </c>
      <c r="I33" s="24" t="s">
        <v>50</v>
      </c>
      <c r="J33" s="26">
        <v>44853</v>
      </c>
      <c r="K33" s="27">
        <v>45096</v>
      </c>
      <c r="L33" s="24">
        <f>8*30</f>
        <v>240</v>
      </c>
      <c r="M33" s="24">
        <f t="shared" ca="1" si="0"/>
        <v>32</v>
      </c>
      <c r="N33" s="22" t="str">
        <f t="shared" ca="1" si="1"/>
        <v>ADITAR</v>
      </c>
      <c r="O33" s="27">
        <v>45215</v>
      </c>
      <c r="P33" s="27">
        <v>45068</v>
      </c>
      <c r="Q33" s="24">
        <f>8*30</f>
        <v>240</v>
      </c>
      <c r="R33" s="24">
        <f t="shared" ca="1" si="2"/>
        <v>4</v>
      </c>
      <c r="S33" s="22" t="str">
        <f t="shared" ca="1" si="3"/>
        <v>ADITAR</v>
      </c>
      <c r="T33" s="27">
        <v>45187</v>
      </c>
      <c r="U33" s="27"/>
      <c r="V33" s="27"/>
      <c r="W33" s="22">
        <f t="shared" si="4"/>
        <v>0</v>
      </c>
      <c r="X33" s="24">
        <v>420</v>
      </c>
      <c r="Y33" s="29">
        <v>3403555.6</v>
      </c>
      <c r="Z33" s="29">
        <f>[30]CADASTRO!$C$31</f>
        <v>435822.54</v>
      </c>
      <c r="AA33" s="30">
        <f>[30]CADASTRO!$C$32</f>
        <v>0.84000640969162998</v>
      </c>
      <c r="AB33" s="23" t="s">
        <v>235</v>
      </c>
      <c r="AC33" s="23" t="s">
        <v>236</v>
      </c>
      <c r="AD33" s="23" t="s">
        <v>49</v>
      </c>
      <c r="AE33" s="23" t="s">
        <v>49</v>
      </c>
      <c r="AF33" s="22" t="s">
        <v>54</v>
      </c>
      <c r="AG33" s="31">
        <v>1</v>
      </c>
      <c r="AH33" s="31">
        <v>1</v>
      </c>
      <c r="AI33" s="27">
        <f t="shared" ref="AI33:AI38" si="8">J33</f>
        <v>44853</v>
      </c>
      <c r="AJ33" s="28">
        <f t="shared" ca="1" si="6"/>
        <v>4.083333333333333</v>
      </c>
      <c r="AK33" s="27">
        <f t="shared" si="7"/>
        <v>46653</v>
      </c>
      <c r="AL33" s="24" t="s">
        <v>237</v>
      </c>
      <c r="AM33" s="31"/>
      <c r="AN33" s="32" t="s">
        <v>238</v>
      </c>
    </row>
    <row r="34" spans="1:40" s="33" customFormat="1" ht="74.25" customHeight="1" x14ac:dyDescent="0.25">
      <c r="A34" s="22">
        <v>33</v>
      </c>
      <c r="B34" s="23" t="s">
        <v>45</v>
      </c>
      <c r="C34" s="24" t="s">
        <v>46</v>
      </c>
      <c r="D34" s="22" t="s">
        <v>239</v>
      </c>
      <c r="E34" s="25" t="s">
        <v>240</v>
      </c>
      <c r="F34" s="25"/>
      <c r="G34" s="23" t="s">
        <v>49</v>
      </c>
      <c r="H34" s="24" t="s">
        <v>78</v>
      </c>
      <c r="I34" s="24" t="s">
        <v>112</v>
      </c>
      <c r="J34" s="26">
        <v>44874</v>
      </c>
      <c r="K34" s="27">
        <v>45208</v>
      </c>
      <c r="L34" s="28">
        <f>5*30</f>
        <v>150</v>
      </c>
      <c r="M34" s="24">
        <f t="shared" ca="1" si="0"/>
        <v>147</v>
      </c>
      <c r="N34" s="22" t="str">
        <f t="shared" ca="1" si="1"/>
        <v>VIGENTE</v>
      </c>
      <c r="O34" s="27">
        <v>45330</v>
      </c>
      <c r="P34" s="27">
        <v>45123</v>
      </c>
      <c r="Q34" s="28">
        <f>3*30</f>
        <v>90</v>
      </c>
      <c r="R34" s="28">
        <f t="shared" ca="1" si="2"/>
        <v>62</v>
      </c>
      <c r="S34" s="22" t="str">
        <f t="shared" ca="1" si="3"/>
        <v>VIGENTE</v>
      </c>
      <c r="T34" s="27">
        <v>45245</v>
      </c>
      <c r="U34" s="27"/>
      <c r="V34" s="27"/>
      <c r="W34" s="22">
        <f t="shared" si="4"/>
        <v>0</v>
      </c>
      <c r="X34" s="24">
        <v>420</v>
      </c>
      <c r="Y34" s="29" t="s">
        <v>241</v>
      </c>
      <c r="Z34" s="29">
        <f>[31]CADASTRO!$C$31</f>
        <v>1248317.19</v>
      </c>
      <c r="AA34" s="30">
        <f>[31]CADASTRO!$C$32</f>
        <v>0.28562294046436199</v>
      </c>
      <c r="AB34" s="23" t="s">
        <v>242</v>
      </c>
      <c r="AC34" s="23" t="s">
        <v>142</v>
      </c>
      <c r="AD34" s="23" t="s">
        <v>49</v>
      </c>
      <c r="AE34" s="23" t="s">
        <v>49</v>
      </c>
      <c r="AF34" s="22" t="s">
        <v>54</v>
      </c>
      <c r="AG34" s="31">
        <v>0</v>
      </c>
      <c r="AH34" s="31">
        <v>0</v>
      </c>
      <c r="AI34" s="27">
        <f t="shared" si="8"/>
        <v>44874</v>
      </c>
      <c r="AJ34" s="28">
        <f t="shared" ca="1" si="6"/>
        <v>4.1416666666666666</v>
      </c>
      <c r="AK34" s="27">
        <f t="shared" si="7"/>
        <v>46674</v>
      </c>
      <c r="AL34" s="24" t="s">
        <v>243</v>
      </c>
      <c r="AM34" s="31" t="s">
        <v>56</v>
      </c>
      <c r="AN34" s="32" t="s">
        <v>244</v>
      </c>
    </row>
    <row r="35" spans="1:40" s="33" customFormat="1" ht="74.25" customHeight="1" x14ac:dyDescent="0.25">
      <c r="A35" s="22" t="s">
        <v>245</v>
      </c>
      <c r="B35" s="23" t="s">
        <v>45</v>
      </c>
      <c r="C35" s="24" t="s">
        <v>46</v>
      </c>
      <c r="D35" s="22" t="s">
        <v>239</v>
      </c>
      <c r="E35" s="25" t="s">
        <v>246</v>
      </c>
      <c r="F35" s="25"/>
      <c r="G35" s="23" t="s">
        <v>49</v>
      </c>
      <c r="H35" s="24" t="s">
        <v>78</v>
      </c>
      <c r="I35" s="24" t="s">
        <v>112</v>
      </c>
      <c r="J35" s="26">
        <v>44874</v>
      </c>
      <c r="K35" s="27">
        <v>45208</v>
      </c>
      <c r="L35" s="28">
        <f>5*30</f>
        <v>150</v>
      </c>
      <c r="M35" s="24">
        <f t="shared" ca="1" si="0"/>
        <v>147</v>
      </c>
      <c r="N35" s="22" t="str">
        <f t="shared" ca="1" si="1"/>
        <v>VIGENTE</v>
      </c>
      <c r="O35" s="27">
        <v>45330</v>
      </c>
      <c r="P35" s="27">
        <v>45096</v>
      </c>
      <c r="Q35" s="28">
        <f>5*30</f>
        <v>150</v>
      </c>
      <c r="R35" s="28">
        <f t="shared" ca="1" si="2"/>
        <v>34</v>
      </c>
      <c r="S35" s="22" t="str">
        <f t="shared" ca="1" si="3"/>
        <v>ADITAR</v>
      </c>
      <c r="T35" s="27">
        <v>45217</v>
      </c>
      <c r="U35" s="27"/>
      <c r="V35" s="27"/>
      <c r="W35" s="22">
        <f t="shared" si="4"/>
        <v>0</v>
      </c>
      <c r="X35" s="24">
        <v>420</v>
      </c>
      <c r="Y35" s="29" t="s">
        <v>241</v>
      </c>
      <c r="Z35" s="29">
        <f>[31]CADASTRO!$C$31</f>
        <v>1248317.19</v>
      </c>
      <c r="AA35" s="30">
        <f>[31]CADASTRO!$C$32</f>
        <v>0.28562294046436199</v>
      </c>
      <c r="AB35" s="23" t="s">
        <v>242</v>
      </c>
      <c r="AC35" s="23" t="s">
        <v>142</v>
      </c>
      <c r="AD35" s="23" t="s">
        <v>49</v>
      </c>
      <c r="AE35" s="23" t="s">
        <v>49</v>
      </c>
      <c r="AF35" s="22" t="s">
        <v>73</v>
      </c>
      <c r="AG35" s="31">
        <v>0</v>
      </c>
      <c r="AH35" s="31">
        <v>0</v>
      </c>
      <c r="AI35" s="27">
        <f t="shared" si="8"/>
        <v>44874</v>
      </c>
      <c r="AJ35" s="28">
        <f t="shared" ca="1" si="6"/>
        <v>4.1416666666666666</v>
      </c>
      <c r="AK35" s="27">
        <f t="shared" si="7"/>
        <v>46674</v>
      </c>
      <c r="AL35" s="24" t="s">
        <v>243</v>
      </c>
      <c r="AM35" s="31"/>
      <c r="AN35" s="32"/>
    </row>
    <row r="36" spans="1:40" s="33" customFormat="1" ht="74.25" customHeight="1" x14ac:dyDescent="0.25">
      <c r="A36" s="22" t="s">
        <v>247</v>
      </c>
      <c r="B36" s="23" t="s">
        <v>45</v>
      </c>
      <c r="C36" s="24" t="s">
        <v>46</v>
      </c>
      <c r="D36" s="22" t="s">
        <v>239</v>
      </c>
      <c r="E36" s="25" t="s">
        <v>248</v>
      </c>
      <c r="F36" s="25"/>
      <c r="G36" s="23" t="s">
        <v>49</v>
      </c>
      <c r="H36" s="24" t="s">
        <v>78</v>
      </c>
      <c r="I36" s="24" t="s">
        <v>112</v>
      </c>
      <c r="J36" s="26">
        <v>44874</v>
      </c>
      <c r="K36" s="27">
        <v>45208</v>
      </c>
      <c r="L36" s="28">
        <f>5*30</f>
        <v>150</v>
      </c>
      <c r="M36" s="24">
        <f t="shared" ref="M36:M67" ca="1" si="9">IF(O36="","",O36-TODAY())</f>
        <v>147</v>
      </c>
      <c r="N36" s="22" t="str">
        <f t="shared" ref="N36:N67" ca="1" si="10">IF(M36&lt;=0,"EXPIRADO",IF(M36&gt;=60,"VIGENTE","ADITAR"))</f>
        <v>VIGENTE</v>
      </c>
      <c r="O36" s="27">
        <v>45330</v>
      </c>
      <c r="P36" s="27">
        <v>45146</v>
      </c>
      <c r="Q36" s="28">
        <f>5*30</f>
        <v>150</v>
      </c>
      <c r="R36" s="24">
        <f t="shared" ref="R36:R67" ca="1" si="11">IF(T36="","",T36-TODAY())</f>
        <v>84</v>
      </c>
      <c r="S36" s="22" t="str">
        <f t="shared" ref="S36:S67" ca="1" si="12">IF(R36&lt;=0,"EXPIRADO",IF(R36&gt;=60,"VIGENTE","ADITAR"))</f>
        <v>VIGENTE</v>
      </c>
      <c r="T36" s="27">
        <v>45267</v>
      </c>
      <c r="U36" s="27"/>
      <c r="V36" s="27"/>
      <c r="W36" s="22">
        <f t="shared" si="4"/>
        <v>0</v>
      </c>
      <c r="X36" s="24">
        <v>420</v>
      </c>
      <c r="Y36" s="29" t="s">
        <v>241</v>
      </c>
      <c r="Z36" s="29">
        <f>[31]CADASTRO!$C$31</f>
        <v>1248317.19</v>
      </c>
      <c r="AA36" s="30">
        <f>[31]CADASTRO!$C$32</f>
        <v>0.28562294046436199</v>
      </c>
      <c r="AB36" s="23" t="s">
        <v>242</v>
      </c>
      <c r="AC36" s="23" t="s">
        <v>142</v>
      </c>
      <c r="AD36" s="23" t="s">
        <v>49</v>
      </c>
      <c r="AE36" s="23" t="s">
        <v>49</v>
      </c>
      <c r="AF36" s="22" t="s">
        <v>73</v>
      </c>
      <c r="AG36" s="31">
        <v>0</v>
      </c>
      <c r="AH36" s="31">
        <v>0</v>
      </c>
      <c r="AI36" s="27">
        <f t="shared" si="8"/>
        <v>44874</v>
      </c>
      <c r="AJ36" s="28">
        <f t="shared" ref="AJ36:AJ67" ca="1" si="13">(IF(AK36="","",AK36-TODAY()))/360</f>
        <v>4.1416666666666666</v>
      </c>
      <c r="AK36" s="27">
        <f t="shared" ref="AK36:AK67" si="14">AI36+1800</f>
        <v>46674</v>
      </c>
      <c r="AL36" s="24" t="s">
        <v>243</v>
      </c>
      <c r="AM36" s="31"/>
      <c r="AN36" s="32"/>
    </row>
    <row r="37" spans="1:40" s="33" customFormat="1" ht="74.25" customHeight="1" x14ac:dyDescent="0.25">
      <c r="A37" s="22">
        <v>34</v>
      </c>
      <c r="B37" s="23" t="s">
        <v>45</v>
      </c>
      <c r="C37" s="24" t="s">
        <v>249</v>
      </c>
      <c r="D37" s="22" t="s">
        <v>250</v>
      </c>
      <c r="E37" s="25" t="s">
        <v>251</v>
      </c>
      <c r="F37" s="25"/>
      <c r="G37" s="23" t="s">
        <v>146</v>
      </c>
      <c r="H37" s="24" t="s">
        <v>50</v>
      </c>
      <c r="I37" s="24" t="s">
        <v>50</v>
      </c>
      <c r="J37" s="26">
        <v>44853</v>
      </c>
      <c r="K37" s="27">
        <v>45096</v>
      </c>
      <c r="L37" s="24">
        <f>4*30</f>
        <v>120</v>
      </c>
      <c r="M37" s="24">
        <f t="shared" ca="1" si="9"/>
        <v>32</v>
      </c>
      <c r="N37" s="22" t="str">
        <f t="shared" ca="1" si="10"/>
        <v>ADITAR</v>
      </c>
      <c r="O37" s="27">
        <v>45215</v>
      </c>
      <c r="P37" s="27">
        <v>45068</v>
      </c>
      <c r="Q37" s="24">
        <f>4*30</f>
        <v>120</v>
      </c>
      <c r="R37" s="24">
        <f t="shared" ca="1" si="11"/>
        <v>4</v>
      </c>
      <c r="S37" s="22" t="str">
        <f t="shared" ca="1" si="12"/>
        <v>ADITAR</v>
      </c>
      <c r="T37" s="27">
        <v>45187</v>
      </c>
      <c r="U37" s="27"/>
      <c r="V37" s="27"/>
      <c r="W37" s="22">
        <f t="shared" si="4"/>
        <v>0</v>
      </c>
      <c r="X37" s="24">
        <v>6420</v>
      </c>
      <c r="Y37" s="29">
        <v>1687500</v>
      </c>
      <c r="Z37" s="29">
        <f>[32]CADASTRO!$C$31</f>
        <v>270000</v>
      </c>
      <c r="AA37" s="30">
        <f>[32]CADASTRO!$C$32</f>
        <v>0.8</v>
      </c>
      <c r="AB37" s="23" t="s">
        <v>235</v>
      </c>
      <c r="AC37" s="23" t="s">
        <v>236</v>
      </c>
      <c r="AD37" s="23" t="s">
        <v>49</v>
      </c>
      <c r="AE37" s="23" t="s">
        <v>49</v>
      </c>
      <c r="AF37" s="22" t="s">
        <v>80</v>
      </c>
      <c r="AG37" s="31">
        <v>2</v>
      </c>
      <c r="AH37" s="31">
        <v>1</v>
      </c>
      <c r="AI37" s="27">
        <f t="shared" si="8"/>
        <v>44853</v>
      </c>
      <c r="AJ37" s="28">
        <f t="shared" ca="1" si="13"/>
        <v>4.083333333333333</v>
      </c>
      <c r="AK37" s="27">
        <f t="shared" si="14"/>
        <v>46653</v>
      </c>
      <c r="AL37" s="24" t="s">
        <v>252</v>
      </c>
      <c r="AM37" s="31"/>
      <c r="AN37" s="32"/>
    </row>
    <row r="38" spans="1:40" s="33" customFormat="1" ht="74.25" customHeight="1" x14ac:dyDescent="0.25">
      <c r="A38" s="22">
        <v>35</v>
      </c>
      <c r="B38" s="23" t="s">
        <v>45</v>
      </c>
      <c r="C38" s="24" t="s">
        <v>46</v>
      </c>
      <c r="D38" s="22" t="s">
        <v>253</v>
      </c>
      <c r="E38" s="25" t="s">
        <v>254</v>
      </c>
      <c r="F38" s="25"/>
      <c r="G38" s="23" t="s">
        <v>49</v>
      </c>
      <c r="H38" s="24" t="s">
        <v>78</v>
      </c>
      <c r="I38" s="24" t="s">
        <v>255</v>
      </c>
      <c r="J38" s="26">
        <v>44851</v>
      </c>
      <c r="K38" s="27">
        <v>44851</v>
      </c>
      <c r="L38" s="24">
        <f>8*30</f>
        <v>240</v>
      </c>
      <c r="M38" s="24">
        <f t="shared" ca="1" si="9"/>
        <v>-92</v>
      </c>
      <c r="N38" s="22" t="str">
        <f t="shared" ca="1" si="10"/>
        <v>EXPIRADO</v>
      </c>
      <c r="O38" s="27">
        <f>K38+240</f>
        <v>45091</v>
      </c>
      <c r="P38" s="27"/>
      <c r="Q38" s="24">
        <f>4*30</f>
        <v>120</v>
      </c>
      <c r="R38" s="24">
        <f t="shared" ca="1" si="11"/>
        <v>-45063</v>
      </c>
      <c r="S38" s="22" t="str">
        <f t="shared" ca="1" si="12"/>
        <v>EXPIRADO</v>
      </c>
      <c r="T38" s="27">
        <f>P38+120</f>
        <v>120</v>
      </c>
      <c r="U38" s="27">
        <v>44958</v>
      </c>
      <c r="V38" s="27">
        <f ca="1">TODAY()</f>
        <v>45183</v>
      </c>
      <c r="W38" s="22">
        <f t="shared" ca="1" si="4"/>
        <v>225</v>
      </c>
      <c r="X38" s="24">
        <v>420</v>
      </c>
      <c r="Y38" s="29">
        <v>908019.99</v>
      </c>
      <c r="Z38" s="29">
        <f>[33]CADASTRO!$C$31</f>
        <v>908019.99</v>
      </c>
      <c r="AA38" s="30">
        <f>[33]CADASTRO!$C$32</f>
        <v>0</v>
      </c>
      <c r="AB38" s="23" t="s">
        <v>256</v>
      </c>
      <c r="AC38" s="23" t="s">
        <v>49</v>
      </c>
      <c r="AD38" s="23" t="s">
        <v>49</v>
      </c>
      <c r="AE38" s="23" t="s">
        <v>49</v>
      </c>
      <c r="AF38" s="22" t="s">
        <v>94</v>
      </c>
      <c r="AG38" s="31">
        <v>0</v>
      </c>
      <c r="AH38" s="31">
        <v>0</v>
      </c>
      <c r="AI38" s="27">
        <f t="shared" si="8"/>
        <v>44851</v>
      </c>
      <c r="AJ38" s="28">
        <f t="shared" ca="1" si="13"/>
        <v>4.0777777777777775</v>
      </c>
      <c r="AK38" s="27">
        <f t="shared" si="14"/>
        <v>46651</v>
      </c>
      <c r="AL38" s="24"/>
      <c r="AM38" s="31" t="s">
        <v>103</v>
      </c>
      <c r="AN38" s="32" t="s">
        <v>257</v>
      </c>
    </row>
    <row r="39" spans="1:40" s="33" customFormat="1" ht="74.25" customHeight="1" x14ac:dyDescent="0.25">
      <c r="A39" s="22">
        <v>36</v>
      </c>
      <c r="B39" s="23" t="s">
        <v>45</v>
      </c>
      <c r="C39" s="24" t="s">
        <v>225</v>
      </c>
      <c r="D39" s="22" t="s">
        <v>258</v>
      </c>
      <c r="E39" s="25" t="s">
        <v>259</v>
      </c>
      <c r="F39" s="25"/>
      <c r="G39" s="23" t="s">
        <v>49</v>
      </c>
      <c r="H39" s="24" t="s">
        <v>60</v>
      </c>
      <c r="I39" s="24" t="s">
        <v>260</v>
      </c>
      <c r="J39" s="26">
        <v>44882</v>
      </c>
      <c r="K39" s="27">
        <v>45152</v>
      </c>
      <c r="L39" s="24">
        <f>4*30</f>
        <v>120</v>
      </c>
      <c r="M39" s="24">
        <f t="shared" ca="1" si="9"/>
        <v>60</v>
      </c>
      <c r="N39" s="22" t="str">
        <f t="shared" ca="1" si="10"/>
        <v>VIGENTE</v>
      </c>
      <c r="O39" s="27">
        <v>45243</v>
      </c>
      <c r="P39" s="27">
        <v>45122</v>
      </c>
      <c r="Q39" s="24">
        <f>4*30</f>
        <v>120</v>
      </c>
      <c r="R39" s="24">
        <f t="shared" ca="1" si="11"/>
        <v>30</v>
      </c>
      <c r="S39" s="22" t="str">
        <f t="shared" ca="1" si="12"/>
        <v>ADITAR</v>
      </c>
      <c r="T39" s="27">
        <v>45213</v>
      </c>
      <c r="U39" s="27"/>
      <c r="V39" s="27"/>
      <c r="W39" s="22">
        <f t="shared" si="4"/>
        <v>0</v>
      </c>
      <c r="X39" s="24">
        <v>420</v>
      </c>
      <c r="Y39" s="29">
        <v>1225889.98</v>
      </c>
      <c r="Z39" s="29">
        <f>[34]CADASTRO!$C$31</f>
        <v>789503</v>
      </c>
      <c r="AA39" s="30">
        <f>[34]CADASTRO!$C$32</f>
        <v>0.35597564799412101</v>
      </c>
      <c r="AB39" s="23" t="s">
        <v>63</v>
      </c>
      <c r="AC39" s="23" t="s">
        <v>62</v>
      </c>
      <c r="AD39" s="23" t="s">
        <v>49</v>
      </c>
      <c r="AE39" s="23" t="s">
        <v>49</v>
      </c>
      <c r="AF39" s="22" t="s">
        <v>86</v>
      </c>
      <c r="AG39" s="31">
        <v>1</v>
      </c>
      <c r="AH39" s="31">
        <v>0</v>
      </c>
      <c r="AI39" s="27">
        <v>45112</v>
      </c>
      <c r="AJ39" s="28">
        <f t="shared" ca="1" si="13"/>
        <v>4.802777777777778</v>
      </c>
      <c r="AK39" s="27">
        <f t="shared" si="14"/>
        <v>46912</v>
      </c>
      <c r="AL39" s="24"/>
      <c r="AM39" s="31" t="s">
        <v>56</v>
      </c>
      <c r="AN39" s="32" t="s">
        <v>261</v>
      </c>
    </row>
    <row r="40" spans="1:40" s="33" customFormat="1" ht="74.25" customHeight="1" x14ac:dyDescent="0.25">
      <c r="A40" s="22">
        <v>37</v>
      </c>
      <c r="B40" s="23" t="s">
        <v>45</v>
      </c>
      <c r="C40" s="24" t="s">
        <v>262</v>
      </c>
      <c r="D40" s="22" t="s">
        <v>263</v>
      </c>
      <c r="E40" s="25" t="s">
        <v>264</v>
      </c>
      <c r="F40" s="25"/>
      <c r="G40" s="23" t="s">
        <v>49</v>
      </c>
      <c r="H40" s="24" t="s">
        <v>117</v>
      </c>
      <c r="I40" s="24" t="s">
        <v>124</v>
      </c>
      <c r="J40" s="26">
        <v>44897</v>
      </c>
      <c r="K40" s="27">
        <v>45171</v>
      </c>
      <c r="L40" s="24">
        <f>2*30</f>
        <v>60</v>
      </c>
      <c r="M40" s="24">
        <f t="shared" ca="1" si="9"/>
        <v>78</v>
      </c>
      <c r="N40" s="22" t="str">
        <f t="shared" ca="1" si="10"/>
        <v>VIGENTE</v>
      </c>
      <c r="O40" s="27">
        <v>45261</v>
      </c>
      <c r="P40" s="27">
        <v>45116</v>
      </c>
      <c r="Q40" s="24">
        <f>3*30</f>
        <v>90</v>
      </c>
      <c r="R40" s="24">
        <f t="shared" ca="1" si="11"/>
        <v>24</v>
      </c>
      <c r="S40" s="22" t="str">
        <f t="shared" ca="1" si="12"/>
        <v>ADITAR</v>
      </c>
      <c r="T40" s="27">
        <v>45207</v>
      </c>
      <c r="U40" s="27"/>
      <c r="V40" s="27"/>
      <c r="W40" s="22">
        <f t="shared" si="4"/>
        <v>0</v>
      </c>
      <c r="X40" s="24">
        <v>420</v>
      </c>
      <c r="Y40" s="29">
        <v>2995289.11</v>
      </c>
      <c r="Z40" s="29">
        <f>[35]CADASTRO!$C$31</f>
        <v>2032420.68</v>
      </c>
      <c r="AA40" s="30">
        <f>[35]CADASTRO!$C$32</f>
        <v>0.32146093236388801</v>
      </c>
      <c r="AB40" s="23" t="s">
        <v>127</v>
      </c>
      <c r="AC40" s="23" t="s">
        <v>126</v>
      </c>
      <c r="AD40" s="23" t="s">
        <v>265</v>
      </c>
      <c r="AE40" s="23" t="s">
        <v>266</v>
      </c>
      <c r="AF40" s="22" t="s">
        <v>73</v>
      </c>
      <c r="AG40" s="31">
        <v>2</v>
      </c>
      <c r="AH40" s="31">
        <v>2</v>
      </c>
      <c r="AI40" s="27">
        <v>45138</v>
      </c>
      <c r="AJ40" s="28">
        <f t="shared" ca="1" si="13"/>
        <v>4.875</v>
      </c>
      <c r="AK40" s="27">
        <f t="shared" si="14"/>
        <v>46938</v>
      </c>
      <c r="AL40" s="24" t="s">
        <v>267</v>
      </c>
      <c r="AM40" s="31"/>
      <c r="AN40" s="32"/>
    </row>
    <row r="41" spans="1:40" s="33" customFormat="1" ht="74.25" customHeight="1" x14ac:dyDescent="0.25">
      <c r="A41" s="22">
        <v>38</v>
      </c>
      <c r="B41" s="23" t="s">
        <v>45</v>
      </c>
      <c r="C41" s="24" t="s">
        <v>268</v>
      </c>
      <c r="D41" s="22" t="s">
        <v>269</v>
      </c>
      <c r="E41" s="25" t="s">
        <v>270</v>
      </c>
      <c r="F41" s="25"/>
      <c r="G41" s="23" t="s">
        <v>49</v>
      </c>
      <c r="H41" s="24" t="s">
        <v>117</v>
      </c>
      <c r="I41" s="24" t="s">
        <v>271</v>
      </c>
      <c r="J41" s="26">
        <v>44901</v>
      </c>
      <c r="K41" s="27">
        <v>45236</v>
      </c>
      <c r="L41" s="24">
        <f>4*30</f>
        <v>120</v>
      </c>
      <c r="M41" s="24">
        <f t="shared" ca="1" si="9"/>
        <v>144</v>
      </c>
      <c r="N41" s="22" t="str">
        <f t="shared" ca="1" si="10"/>
        <v>VIGENTE</v>
      </c>
      <c r="O41" s="27">
        <v>45327</v>
      </c>
      <c r="P41" s="27">
        <v>45151</v>
      </c>
      <c r="Q41" s="24">
        <f>4*30</f>
        <v>120</v>
      </c>
      <c r="R41" s="24">
        <f t="shared" ca="1" si="11"/>
        <v>59</v>
      </c>
      <c r="S41" s="22" t="str">
        <f t="shared" ca="1" si="12"/>
        <v>ADITAR</v>
      </c>
      <c r="T41" s="27">
        <v>45242</v>
      </c>
      <c r="U41" s="27"/>
      <c r="V41" s="27"/>
      <c r="W41" s="22">
        <f t="shared" si="4"/>
        <v>0</v>
      </c>
      <c r="X41" s="24">
        <v>420</v>
      </c>
      <c r="Y41" s="29">
        <v>4897534.55</v>
      </c>
      <c r="Z41" s="29">
        <f>-[36]CADASTRO!$C$31</f>
        <v>-3058196.87</v>
      </c>
      <c r="AA41" s="30">
        <f>[36]CADASTRO!$C$32</f>
        <v>0.34821834550059699</v>
      </c>
      <c r="AB41" s="23" t="s">
        <v>127</v>
      </c>
      <c r="AC41" s="23" t="s">
        <v>126</v>
      </c>
      <c r="AD41" s="23" t="s">
        <v>265</v>
      </c>
      <c r="AE41" s="23" t="s">
        <v>128</v>
      </c>
      <c r="AF41" s="22" t="s">
        <v>73</v>
      </c>
      <c r="AG41" s="31">
        <v>1</v>
      </c>
      <c r="AH41" s="31">
        <v>0</v>
      </c>
      <c r="AI41" s="27">
        <f>J41</f>
        <v>44901</v>
      </c>
      <c r="AJ41" s="28">
        <f t="shared" ca="1" si="13"/>
        <v>4.2166666666666668</v>
      </c>
      <c r="AK41" s="27">
        <f t="shared" si="14"/>
        <v>46701</v>
      </c>
      <c r="AL41" s="24" t="s">
        <v>272</v>
      </c>
      <c r="AM41" s="31"/>
      <c r="AN41" s="32"/>
    </row>
    <row r="42" spans="1:40" s="33" customFormat="1" ht="74.25" customHeight="1" x14ac:dyDescent="0.25">
      <c r="A42" s="22">
        <v>39</v>
      </c>
      <c r="B42" s="23" t="s">
        <v>45</v>
      </c>
      <c r="C42" s="24" t="s">
        <v>225</v>
      </c>
      <c r="D42" s="22" t="s">
        <v>273</v>
      </c>
      <c r="E42" s="25" t="s">
        <v>274</v>
      </c>
      <c r="F42" s="25"/>
      <c r="G42" s="23" t="s">
        <v>49</v>
      </c>
      <c r="H42" s="24" t="s">
        <v>78</v>
      </c>
      <c r="I42" s="24" t="s">
        <v>112</v>
      </c>
      <c r="J42" s="26">
        <v>44918</v>
      </c>
      <c r="K42" s="27">
        <v>45146</v>
      </c>
      <c r="L42" s="24">
        <f>1*30</f>
        <v>30</v>
      </c>
      <c r="M42" s="24">
        <f t="shared" ca="1" si="9"/>
        <v>10</v>
      </c>
      <c r="N42" s="22" t="str">
        <f t="shared" ca="1" si="10"/>
        <v>ADITAR</v>
      </c>
      <c r="O42" s="27">
        <v>45193</v>
      </c>
      <c r="P42" s="27">
        <v>45146</v>
      </c>
      <c r="Q42" s="24">
        <f>6*30</f>
        <v>180</v>
      </c>
      <c r="R42" s="24">
        <f t="shared" ca="1" si="11"/>
        <v>144</v>
      </c>
      <c r="S42" s="22" t="str">
        <f t="shared" ca="1" si="12"/>
        <v>VIGENTE</v>
      </c>
      <c r="T42" s="27">
        <v>45327</v>
      </c>
      <c r="U42" s="27"/>
      <c r="V42" s="27"/>
      <c r="W42" s="22">
        <f t="shared" si="4"/>
        <v>0</v>
      </c>
      <c r="X42" s="24">
        <v>405</v>
      </c>
      <c r="Y42" s="29">
        <v>1368913.5</v>
      </c>
      <c r="Z42" s="29">
        <f>[37]CADASTRO!$C$31</f>
        <v>1368913.5</v>
      </c>
      <c r="AA42" s="30">
        <f>[37]CADASTRO!$C$32</f>
        <v>0</v>
      </c>
      <c r="AB42" s="23" t="s">
        <v>63</v>
      </c>
      <c r="AC42" s="23" t="s">
        <v>153</v>
      </c>
      <c r="AD42" s="23" t="s">
        <v>49</v>
      </c>
      <c r="AE42" s="23" t="s">
        <v>49</v>
      </c>
      <c r="AF42" s="22" t="s">
        <v>54</v>
      </c>
      <c r="AG42" s="31">
        <v>1</v>
      </c>
      <c r="AH42" s="31">
        <v>0</v>
      </c>
      <c r="AI42" s="27">
        <v>45146</v>
      </c>
      <c r="AJ42" s="28">
        <f t="shared" ca="1" si="13"/>
        <v>4.8972222222222221</v>
      </c>
      <c r="AK42" s="27">
        <f t="shared" si="14"/>
        <v>46946</v>
      </c>
      <c r="AL42" s="24"/>
      <c r="AM42" s="31" t="s">
        <v>56</v>
      </c>
      <c r="AN42" s="32" t="s">
        <v>275</v>
      </c>
    </row>
    <row r="43" spans="1:40" s="33" customFormat="1" ht="74.25" customHeight="1" x14ac:dyDescent="0.25">
      <c r="A43" s="22">
        <v>40</v>
      </c>
      <c r="B43" s="23" t="s">
        <v>45</v>
      </c>
      <c r="C43" s="24" t="s">
        <v>75</v>
      </c>
      <c r="D43" s="22" t="s">
        <v>276</v>
      </c>
      <c r="E43" s="25" t="s">
        <v>277</v>
      </c>
      <c r="F43" s="25"/>
      <c r="G43" s="23" t="s">
        <v>49</v>
      </c>
      <c r="H43" s="24" t="s">
        <v>78</v>
      </c>
      <c r="I43" s="24" t="s">
        <v>112</v>
      </c>
      <c r="J43" s="26">
        <v>44918</v>
      </c>
      <c r="K43" s="27">
        <v>44918</v>
      </c>
      <c r="L43" s="24">
        <f>13*30</f>
        <v>390</v>
      </c>
      <c r="M43" s="24">
        <f t="shared" ca="1" si="9"/>
        <v>125</v>
      </c>
      <c r="N43" s="22" t="str">
        <f t="shared" ca="1" si="10"/>
        <v>VIGENTE</v>
      </c>
      <c r="O43" s="27">
        <f>K43+390</f>
        <v>45308</v>
      </c>
      <c r="P43" s="27">
        <v>44942</v>
      </c>
      <c r="Q43" s="24">
        <f>10*30</f>
        <v>300</v>
      </c>
      <c r="R43" s="24">
        <f t="shared" ca="1" si="11"/>
        <v>59</v>
      </c>
      <c r="S43" s="22" t="str">
        <f t="shared" ca="1" si="12"/>
        <v>ADITAR</v>
      </c>
      <c r="T43" s="27">
        <f>P43+300</f>
        <v>45242</v>
      </c>
      <c r="U43" s="27"/>
      <c r="V43" s="27"/>
      <c r="W43" s="22">
        <f t="shared" si="4"/>
        <v>0</v>
      </c>
      <c r="X43" s="24">
        <v>420</v>
      </c>
      <c r="Y43" s="29">
        <v>1863177.06</v>
      </c>
      <c r="Z43" s="29">
        <f>[38]CADASTRO!$C$31</f>
        <v>921308.04</v>
      </c>
      <c r="AA43" s="30">
        <f>[38]CADASTRO!$C$32</f>
        <v>0.505517720360941</v>
      </c>
      <c r="AB43" s="23" t="s">
        <v>63</v>
      </c>
      <c r="AC43" s="23" t="s">
        <v>153</v>
      </c>
      <c r="AD43" s="23" t="s">
        <v>49</v>
      </c>
      <c r="AE43" s="23" t="s">
        <v>49</v>
      </c>
      <c r="AF43" s="22" t="s">
        <v>73</v>
      </c>
      <c r="AG43" s="31">
        <v>0</v>
      </c>
      <c r="AH43" s="31">
        <v>0</v>
      </c>
      <c r="AI43" s="27">
        <f>J43</f>
        <v>44918</v>
      </c>
      <c r="AJ43" s="28">
        <f t="shared" ca="1" si="13"/>
        <v>4.2638888888888893</v>
      </c>
      <c r="AK43" s="27">
        <f t="shared" si="14"/>
        <v>46718</v>
      </c>
      <c r="AL43" s="24"/>
      <c r="AM43" s="31"/>
      <c r="AN43" s="32"/>
    </row>
    <row r="44" spans="1:40" s="33" customFormat="1" ht="74.25" customHeight="1" x14ac:dyDescent="0.25">
      <c r="A44" s="22">
        <v>41</v>
      </c>
      <c r="B44" s="23" t="s">
        <v>45</v>
      </c>
      <c r="C44" s="24" t="s">
        <v>225</v>
      </c>
      <c r="D44" s="22" t="s">
        <v>278</v>
      </c>
      <c r="E44" s="25" t="s">
        <v>279</v>
      </c>
      <c r="F44" s="25"/>
      <c r="G44" s="23" t="s">
        <v>49</v>
      </c>
      <c r="H44" s="24" t="s">
        <v>135</v>
      </c>
      <c r="I44" s="24" t="s">
        <v>141</v>
      </c>
      <c r="J44" s="26">
        <v>44921</v>
      </c>
      <c r="K44" s="27">
        <v>45160</v>
      </c>
      <c r="L44" s="24">
        <f>4*30</f>
        <v>120</v>
      </c>
      <c r="M44" s="24">
        <f t="shared" ca="1" si="9"/>
        <v>69</v>
      </c>
      <c r="N44" s="22" t="str">
        <f t="shared" ca="1" si="10"/>
        <v>VIGENTE</v>
      </c>
      <c r="O44" s="27">
        <v>45252</v>
      </c>
      <c r="P44" s="27">
        <v>45092</v>
      </c>
      <c r="Q44" s="24">
        <f>3*30</f>
        <v>90</v>
      </c>
      <c r="R44" s="24">
        <f t="shared" ca="1" si="11"/>
        <v>0</v>
      </c>
      <c r="S44" s="22" t="str">
        <f t="shared" ca="1" si="12"/>
        <v>EXPIRADO</v>
      </c>
      <c r="T44" s="27">
        <v>45183</v>
      </c>
      <c r="U44" s="27"/>
      <c r="V44" s="27"/>
      <c r="W44" s="22">
        <f t="shared" si="4"/>
        <v>0</v>
      </c>
      <c r="X44" s="24">
        <v>420</v>
      </c>
      <c r="Y44" s="29">
        <v>1275193.21</v>
      </c>
      <c r="Z44" s="29">
        <f>[39]CADASTRO!$C$31</f>
        <v>722894.43</v>
      </c>
      <c r="AA44" s="30">
        <f>[39]CADASTRO!$C$32</f>
        <v>0.43310988144298501</v>
      </c>
      <c r="AB44" s="23" t="s">
        <v>63</v>
      </c>
      <c r="AC44" s="23" t="s">
        <v>153</v>
      </c>
      <c r="AD44" s="23" t="s">
        <v>49</v>
      </c>
      <c r="AE44" s="23" t="s">
        <v>49</v>
      </c>
      <c r="AF44" s="22" t="s">
        <v>80</v>
      </c>
      <c r="AG44" s="31">
        <v>1</v>
      </c>
      <c r="AH44" s="31">
        <v>0</v>
      </c>
      <c r="AI44" s="27">
        <v>45091</v>
      </c>
      <c r="AJ44" s="28">
        <f t="shared" ca="1" si="13"/>
        <v>4.7444444444444445</v>
      </c>
      <c r="AK44" s="27">
        <f t="shared" si="14"/>
        <v>46891</v>
      </c>
      <c r="AL44" s="24" t="s">
        <v>280</v>
      </c>
      <c r="AM44" s="31"/>
      <c r="AN44" s="32"/>
    </row>
    <row r="45" spans="1:40" s="33" customFormat="1" ht="74.25" customHeight="1" x14ac:dyDescent="0.25">
      <c r="A45" s="22">
        <v>42</v>
      </c>
      <c r="B45" s="23" t="s">
        <v>45</v>
      </c>
      <c r="C45" s="24" t="s">
        <v>281</v>
      </c>
      <c r="D45" s="22" t="s">
        <v>282</v>
      </c>
      <c r="E45" s="25" t="s">
        <v>283</v>
      </c>
      <c r="F45" s="25"/>
      <c r="G45" s="23" t="s">
        <v>49</v>
      </c>
      <c r="H45" s="24" t="s">
        <v>135</v>
      </c>
      <c r="I45" s="24" t="s">
        <v>141</v>
      </c>
      <c r="J45" s="26">
        <v>44921</v>
      </c>
      <c r="K45" s="27">
        <v>45191</v>
      </c>
      <c r="L45" s="24">
        <f>9*30</f>
        <v>270</v>
      </c>
      <c r="M45" s="24">
        <f t="shared" ca="1" si="9"/>
        <v>129</v>
      </c>
      <c r="N45" s="22" t="str">
        <f t="shared" ca="1" si="10"/>
        <v>VIGENTE</v>
      </c>
      <c r="O45" s="27">
        <v>45312</v>
      </c>
      <c r="P45" s="27">
        <v>45120</v>
      </c>
      <c r="Q45" s="24">
        <f>5*30</f>
        <v>150</v>
      </c>
      <c r="R45" s="24">
        <f t="shared" ca="1" si="11"/>
        <v>59</v>
      </c>
      <c r="S45" s="22" t="str">
        <f t="shared" ca="1" si="12"/>
        <v>ADITAR</v>
      </c>
      <c r="T45" s="27">
        <v>45242</v>
      </c>
      <c r="U45" s="27"/>
      <c r="V45" s="27"/>
      <c r="W45" s="22">
        <f t="shared" si="4"/>
        <v>0</v>
      </c>
      <c r="X45" s="24">
        <v>420</v>
      </c>
      <c r="Y45" s="29">
        <v>1623339.19</v>
      </c>
      <c r="Z45" s="29">
        <f>[40]CADASTRO!$C$31</f>
        <v>868564.5</v>
      </c>
      <c r="AA45" s="30">
        <f>[40]CADASTRO!$C$32</f>
        <v>0.464951930347964</v>
      </c>
      <c r="AB45" s="23" t="s">
        <v>52</v>
      </c>
      <c r="AC45" s="23" t="s">
        <v>142</v>
      </c>
      <c r="AD45" s="23" t="s">
        <v>49</v>
      </c>
      <c r="AE45" s="23" t="s">
        <v>49</v>
      </c>
      <c r="AF45" s="22" t="s">
        <v>73</v>
      </c>
      <c r="AG45" s="31">
        <v>1</v>
      </c>
      <c r="AH45" s="31">
        <v>0</v>
      </c>
      <c r="AI45" s="27">
        <v>45104</v>
      </c>
      <c r="AJ45" s="28">
        <f t="shared" ca="1" si="13"/>
        <v>4.7805555555555559</v>
      </c>
      <c r="AK45" s="27">
        <f t="shared" si="14"/>
        <v>46904</v>
      </c>
      <c r="AL45" s="24" t="s">
        <v>284</v>
      </c>
      <c r="AM45" s="31"/>
      <c r="AN45" s="25"/>
    </row>
    <row r="46" spans="1:40" s="33" customFormat="1" ht="74.25" customHeight="1" x14ac:dyDescent="0.25">
      <c r="A46" s="22">
        <v>43</v>
      </c>
      <c r="B46" s="23" t="s">
        <v>45</v>
      </c>
      <c r="C46" s="24" t="s">
        <v>46</v>
      </c>
      <c r="D46" s="22" t="s">
        <v>282</v>
      </c>
      <c r="E46" s="25" t="s">
        <v>285</v>
      </c>
      <c r="F46" s="25"/>
      <c r="G46" s="23" t="s">
        <v>49</v>
      </c>
      <c r="H46" s="24" t="s">
        <v>135</v>
      </c>
      <c r="I46" s="24" t="s">
        <v>141</v>
      </c>
      <c r="J46" s="26">
        <v>44921</v>
      </c>
      <c r="K46" s="27">
        <v>45191</v>
      </c>
      <c r="L46" s="24">
        <f>9*30</f>
        <v>270</v>
      </c>
      <c r="M46" s="24">
        <f t="shared" ca="1" si="9"/>
        <v>129</v>
      </c>
      <c r="N46" s="22" t="str">
        <f t="shared" ca="1" si="10"/>
        <v>VIGENTE</v>
      </c>
      <c r="O46" s="27">
        <v>45312</v>
      </c>
      <c r="P46" s="27">
        <v>45123</v>
      </c>
      <c r="Q46" s="24">
        <f>5*30</f>
        <v>150</v>
      </c>
      <c r="R46" s="24">
        <f t="shared" ca="1" si="11"/>
        <v>62</v>
      </c>
      <c r="S46" s="22" t="str">
        <f t="shared" ca="1" si="12"/>
        <v>VIGENTE</v>
      </c>
      <c r="T46" s="27">
        <v>45245</v>
      </c>
      <c r="U46" s="27"/>
      <c r="V46" s="27"/>
      <c r="W46" s="22">
        <v>0</v>
      </c>
      <c r="X46" s="24">
        <v>420</v>
      </c>
      <c r="Y46" s="29">
        <v>1623339.19</v>
      </c>
      <c r="Z46" s="29">
        <f>[40]CADASTRO!$C$31</f>
        <v>868564.5</v>
      </c>
      <c r="AA46" s="30">
        <f>[40]CADASTRO!$C$32</f>
        <v>0.464951930347964</v>
      </c>
      <c r="AB46" s="23" t="s">
        <v>52</v>
      </c>
      <c r="AC46" s="23" t="s">
        <v>142</v>
      </c>
      <c r="AD46" s="23" t="s">
        <v>49</v>
      </c>
      <c r="AE46" s="23" t="s">
        <v>49</v>
      </c>
      <c r="AF46" s="22" t="s">
        <v>73</v>
      </c>
      <c r="AG46" s="31">
        <v>1</v>
      </c>
      <c r="AH46" s="31">
        <v>0</v>
      </c>
      <c r="AI46" s="27">
        <v>45104</v>
      </c>
      <c r="AJ46" s="28">
        <f t="shared" ca="1" si="13"/>
        <v>4.7805555555555559</v>
      </c>
      <c r="AK46" s="27">
        <f t="shared" si="14"/>
        <v>46904</v>
      </c>
      <c r="AL46" s="24" t="s">
        <v>284</v>
      </c>
      <c r="AM46" s="31"/>
      <c r="AN46" s="25"/>
    </row>
    <row r="47" spans="1:40" s="33" customFormat="1" ht="74.25" customHeight="1" x14ac:dyDescent="0.25">
      <c r="A47" s="22">
        <v>44</v>
      </c>
      <c r="B47" s="23" t="s">
        <v>45</v>
      </c>
      <c r="C47" s="24" t="s">
        <v>81</v>
      </c>
      <c r="D47" s="22" t="s">
        <v>286</v>
      </c>
      <c r="E47" s="25" t="s">
        <v>287</v>
      </c>
      <c r="F47" s="25"/>
      <c r="G47" s="23" t="s">
        <v>49</v>
      </c>
      <c r="H47" s="24" t="s">
        <v>50</v>
      </c>
      <c r="I47" s="24" t="s">
        <v>193</v>
      </c>
      <c r="J47" s="26">
        <v>44921</v>
      </c>
      <c r="K47" s="27">
        <v>45191</v>
      </c>
      <c r="L47" s="24">
        <f>3*30</f>
        <v>90</v>
      </c>
      <c r="M47" s="24">
        <f t="shared" ca="1" si="9"/>
        <v>67</v>
      </c>
      <c r="N47" s="22" t="str">
        <f t="shared" ca="1" si="10"/>
        <v>VIGENTE</v>
      </c>
      <c r="O47" s="27">
        <v>45250</v>
      </c>
      <c r="P47" s="27">
        <v>45122</v>
      </c>
      <c r="Q47" s="24">
        <f>3*30</f>
        <v>90</v>
      </c>
      <c r="R47" s="24">
        <f t="shared" ca="1" si="11"/>
        <v>-2</v>
      </c>
      <c r="S47" s="22" t="str">
        <f t="shared" ca="1" si="12"/>
        <v>EXPIRADO</v>
      </c>
      <c r="T47" s="27">
        <v>45181</v>
      </c>
      <c r="U47" s="27"/>
      <c r="V47" s="27"/>
      <c r="W47" s="22">
        <f>V47-U47</f>
        <v>0</v>
      </c>
      <c r="X47" s="24">
        <v>420</v>
      </c>
      <c r="Y47" s="29">
        <v>2093850.59</v>
      </c>
      <c r="Z47" s="29">
        <f>[40]CADASTRO!$C$31</f>
        <v>868564.5</v>
      </c>
      <c r="AA47" s="30">
        <f>[41]CADASTRO!$C$32</f>
        <v>0.76179905940662196</v>
      </c>
      <c r="AB47" s="23" t="s">
        <v>137</v>
      </c>
      <c r="AC47" s="23" t="s">
        <v>62</v>
      </c>
      <c r="AD47" s="23" t="s">
        <v>49</v>
      </c>
      <c r="AE47" s="23" t="s">
        <v>49</v>
      </c>
      <c r="AF47" s="22" t="s">
        <v>73</v>
      </c>
      <c r="AG47" s="31">
        <v>0</v>
      </c>
      <c r="AH47" s="31">
        <v>0</v>
      </c>
      <c r="AI47" s="27">
        <f>J47</f>
        <v>44921</v>
      </c>
      <c r="AJ47" s="28">
        <f t="shared" ca="1" si="13"/>
        <v>4.2722222222222221</v>
      </c>
      <c r="AK47" s="27">
        <f t="shared" si="14"/>
        <v>46721</v>
      </c>
      <c r="AL47" s="24" t="s">
        <v>288</v>
      </c>
      <c r="AM47" s="31"/>
      <c r="AN47" s="32"/>
    </row>
    <row r="48" spans="1:40" s="33" customFormat="1" ht="74.25" customHeight="1" x14ac:dyDescent="0.25">
      <c r="A48" s="22">
        <v>45</v>
      </c>
      <c r="B48" s="23" t="s">
        <v>45</v>
      </c>
      <c r="C48" s="24" t="s">
        <v>289</v>
      </c>
      <c r="D48" s="22" t="s">
        <v>290</v>
      </c>
      <c r="E48" s="25" t="s">
        <v>291</v>
      </c>
      <c r="F48" s="25"/>
      <c r="G48" s="23" t="s">
        <v>49</v>
      </c>
      <c r="H48" s="24" t="s">
        <v>50</v>
      </c>
      <c r="I48" s="24" t="s">
        <v>50</v>
      </c>
      <c r="J48" s="26">
        <v>44936</v>
      </c>
      <c r="K48" s="27">
        <v>45209</v>
      </c>
      <c r="L48" s="24">
        <f>3*30</f>
        <v>90</v>
      </c>
      <c r="M48" s="24">
        <f t="shared" ca="1" si="9"/>
        <v>84</v>
      </c>
      <c r="N48" s="22" t="str">
        <f t="shared" ca="1" si="10"/>
        <v>VIGENTE</v>
      </c>
      <c r="O48" s="27">
        <v>45267</v>
      </c>
      <c r="P48" s="27">
        <v>45124</v>
      </c>
      <c r="Q48" s="24">
        <f>3*30</f>
        <v>90</v>
      </c>
      <c r="R48" s="24">
        <f t="shared" ca="1" si="11"/>
        <v>-1</v>
      </c>
      <c r="S48" s="22" t="str">
        <f t="shared" ca="1" si="12"/>
        <v>EXPIRADO</v>
      </c>
      <c r="T48" s="27">
        <v>45182</v>
      </c>
      <c r="U48" s="27"/>
      <c r="V48" s="27"/>
      <c r="W48" s="22">
        <f>V48-U48</f>
        <v>0</v>
      </c>
      <c r="X48" s="24">
        <v>6443</v>
      </c>
      <c r="Y48" s="29">
        <v>1368150.52</v>
      </c>
      <c r="Z48" s="29">
        <f>[42]CADASTRO!$C$31</f>
        <v>995521.97</v>
      </c>
      <c r="AA48" s="30">
        <f>[42]CADASTRO!$C$32</f>
        <v>0.256783612923351</v>
      </c>
      <c r="AB48" s="23" t="s">
        <v>137</v>
      </c>
      <c r="AC48" s="23" t="s">
        <v>62</v>
      </c>
      <c r="AD48" s="23" t="s">
        <v>49</v>
      </c>
      <c r="AE48" s="23" t="s">
        <v>49</v>
      </c>
      <c r="AF48" s="22" t="s">
        <v>73</v>
      </c>
      <c r="AG48" s="31">
        <v>2</v>
      </c>
      <c r="AH48" s="31">
        <v>0</v>
      </c>
      <c r="AI48" s="27">
        <v>45146</v>
      </c>
      <c r="AJ48" s="28">
        <f t="shared" ca="1" si="13"/>
        <v>4.8972222222222221</v>
      </c>
      <c r="AK48" s="27">
        <f t="shared" si="14"/>
        <v>46946</v>
      </c>
      <c r="AL48" s="24" t="s">
        <v>292</v>
      </c>
      <c r="AM48" s="31"/>
      <c r="AN48" s="32"/>
    </row>
    <row r="49" spans="1:112" s="33" customFormat="1" ht="74.25" customHeight="1" x14ac:dyDescent="0.25">
      <c r="A49" s="22">
        <v>46</v>
      </c>
      <c r="B49" s="23" t="s">
        <v>45</v>
      </c>
      <c r="C49" s="24" t="s">
        <v>293</v>
      </c>
      <c r="D49" s="22" t="s">
        <v>294</v>
      </c>
      <c r="E49" s="25" t="s">
        <v>295</v>
      </c>
      <c r="F49" s="25"/>
      <c r="G49" s="23" t="s">
        <v>49</v>
      </c>
      <c r="H49" s="24" t="s">
        <v>60</v>
      </c>
      <c r="I49" s="24" t="s">
        <v>84</v>
      </c>
      <c r="J49" s="26">
        <v>44936</v>
      </c>
      <c r="K49" s="27">
        <v>44936</v>
      </c>
      <c r="L49" s="24">
        <f>8*30</f>
        <v>240</v>
      </c>
      <c r="M49" s="24">
        <f t="shared" ca="1" si="9"/>
        <v>-7</v>
      </c>
      <c r="N49" s="22" t="str">
        <f t="shared" ca="1" si="10"/>
        <v>EXPIRADO</v>
      </c>
      <c r="O49" s="27">
        <f>K49+240</f>
        <v>45176</v>
      </c>
      <c r="P49" s="27">
        <v>44945</v>
      </c>
      <c r="Q49" s="24">
        <f>5*30</f>
        <v>150</v>
      </c>
      <c r="R49" s="24">
        <f t="shared" ca="1" si="11"/>
        <v>-88</v>
      </c>
      <c r="S49" s="22" t="str">
        <f t="shared" ca="1" si="12"/>
        <v>EXPIRADO</v>
      </c>
      <c r="T49" s="27">
        <f>P49+150</f>
        <v>45095</v>
      </c>
      <c r="U49" s="27"/>
      <c r="V49" s="27"/>
      <c r="W49" s="22">
        <f>V49-U49</f>
        <v>0</v>
      </c>
      <c r="X49" s="24">
        <v>405</v>
      </c>
      <c r="Y49" s="29">
        <v>1142125.75</v>
      </c>
      <c r="Z49" s="29">
        <f>[43]CADASTRO!$C$31</f>
        <v>260493.14</v>
      </c>
      <c r="AA49" s="30">
        <f>[43]CADASTRO!$C$32</f>
        <v>0.77192254005305505</v>
      </c>
      <c r="AB49" s="23" t="s">
        <v>153</v>
      </c>
      <c r="AC49" s="23" t="s">
        <v>296</v>
      </c>
      <c r="AD49" s="23" t="s">
        <v>49</v>
      </c>
      <c r="AE49" s="23" t="s">
        <v>49</v>
      </c>
      <c r="AF49" s="22" t="s">
        <v>73</v>
      </c>
      <c r="AG49" s="31">
        <v>0</v>
      </c>
      <c r="AH49" s="31">
        <v>0</v>
      </c>
      <c r="AI49" s="27">
        <f>J49</f>
        <v>44936</v>
      </c>
      <c r="AJ49" s="28">
        <f t="shared" ca="1" si="13"/>
        <v>4.3138888888888891</v>
      </c>
      <c r="AK49" s="27">
        <f t="shared" si="14"/>
        <v>46736</v>
      </c>
      <c r="AL49" s="24"/>
      <c r="AM49" s="31"/>
      <c r="AN49" s="32" t="s">
        <v>297</v>
      </c>
    </row>
    <row r="50" spans="1:112" s="46" customFormat="1" ht="64.5" customHeight="1" x14ac:dyDescent="0.25">
      <c r="A50" s="22">
        <v>47</v>
      </c>
      <c r="B50" s="23" t="s">
        <v>45</v>
      </c>
      <c r="C50" s="36" t="s">
        <v>298</v>
      </c>
      <c r="D50" s="37" t="s">
        <v>299</v>
      </c>
      <c r="E50" s="38" t="s">
        <v>300</v>
      </c>
      <c r="F50" s="36"/>
      <c r="G50" s="39" t="s">
        <v>146</v>
      </c>
      <c r="H50" s="40" t="s">
        <v>71</v>
      </c>
      <c r="I50" s="41" t="s">
        <v>71</v>
      </c>
      <c r="J50" s="42">
        <v>45083</v>
      </c>
      <c r="K50" s="43">
        <v>45083</v>
      </c>
      <c r="L50" s="39">
        <f>12*30</f>
        <v>360</v>
      </c>
      <c r="M50" s="24">
        <f t="shared" ca="1" si="9"/>
        <v>265</v>
      </c>
      <c r="N50" s="22" t="str">
        <f t="shared" ca="1" si="10"/>
        <v>VIGENTE</v>
      </c>
      <c r="O50" s="43">
        <v>45448</v>
      </c>
      <c r="P50" s="43">
        <v>45089</v>
      </c>
      <c r="Q50" s="39">
        <f>12*30</f>
        <v>360</v>
      </c>
      <c r="R50" s="24">
        <f t="shared" ca="1" si="11"/>
        <v>271</v>
      </c>
      <c r="S50" s="22" t="str">
        <f t="shared" ca="1" si="12"/>
        <v>VIGENTE</v>
      </c>
      <c r="T50" s="43">
        <v>45454</v>
      </c>
      <c r="U50" s="39"/>
      <c r="V50" s="39"/>
      <c r="W50" s="39">
        <v>0</v>
      </c>
      <c r="X50" s="39">
        <v>6420</v>
      </c>
      <c r="Y50" s="44">
        <v>655750</v>
      </c>
      <c r="Z50" s="45">
        <v>0</v>
      </c>
      <c r="AA50" s="30">
        <f>[44]CADASTRO!$C$32</f>
        <v>0</v>
      </c>
      <c r="AB50" s="23" t="s">
        <v>301</v>
      </c>
      <c r="AC50" s="23" t="s">
        <v>235</v>
      </c>
      <c r="AD50" s="23" t="s">
        <v>49</v>
      </c>
      <c r="AE50" s="23" t="s">
        <v>49</v>
      </c>
      <c r="AF50" s="22" t="s">
        <v>73</v>
      </c>
      <c r="AG50" s="39">
        <v>0</v>
      </c>
      <c r="AH50" s="39">
        <v>0</v>
      </c>
      <c r="AI50" s="43">
        <v>45083</v>
      </c>
      <c r="AJ50" s="28">
        <f t="shared" ca="1" si="13"/>
        <v>4.7222222222222223</v>
      </c>
      <c r="AK50" s="27">
        <f t="shared" si="14"/>
        <v>46883</v>
      </c>
      <c r="AL50" s="24"/>
      <c r="AM50" s="39"/>
      <c r="AN50" s="39"/>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row>
    <row r="51" spans="1:112" s="33" customFormat="1" ht="74.25" customHeight="1" x14ac:dyDescent="0.25">
      <c r="A51" s="22">
        <v>48</v>
      </c>
      <c r="B51" s="23" t="s">
        <v>45</v>
      </c>
      <c r="C51" s="24" t="s">
        <v>81</v>
      </c>
      <c r="D51" s="22" t="s">
        <v>302</v>
      </c>
      <c r="E51" s="25" t="s">
        <v>303</v>
      </c>
      <c r="F51" s="25"/>
      <c r="G51" s="23" t="s">
        <v>49</v>
      </c>
      <c r="H51" s="24" t="s">
        <v>60</v>
      </c>
      <c r="I51" s="24" t="s">
        <v>100</v>
      </c>
      <c r="J51" s="26">
        <v>44936</v>
      </c>
      <c r="K51" s="27">
        <v>45206</v>
      </c>
      <c r="L51" s="24">
        <f>9*30</f>
        <v>270</v>
      </c>
      <c r="M51" s="24">
        <f t="shared" ca="1" si="9"/>
        <v>232</v>
      </c>
      <c r="N51" s="22" t="str">
        <f t="shared" ca="1" si="10"/>
        <v>VIGENTE</v>
      </c>
      <c r="O51" s="27">
        <v>45415</v>
      </c>
      <c r="P51" s="27">
        <v>45125</v>
      </c>
      <c r="Q51" s="24">
        <f>6*30</f>
        <v>180</v>
      </c>
      <c r="R51" s="24">
        <f t="shared" ca="1" si="11"/>
        <v>61</v>
      </c>
      <c r="S51" s="22" t="str">
        <f t="shared" ca="1" si="12"/>
        <v>VIGENTE</v>
      </c>
      <c r="T51" s="27">
        <v>45244</v>
      </c>
      <c r="U51" s="27"/>
      <c r="V51" s="27"/>
      <c r="W51" s="22">
        <f t="shared" ref="W51:W88" si="15">V51-U51</f>
        <v>0</v>
      </c>
      <c r="X51" s="24">
        <v>420</v>
      </c>
      <c r="Y51" s="29">
        <v>2978303.86</v>
      </c>
      <c r="Z51" s="29">
        <f>[45]CADASTRO!$C$31</f>
        <v>920544.18</v>
      </c>
      <c r="AA51" s="30">
        <f>[45]CADASTRO!$C$32</f>
        <v>0.631782328</v>
      </c>
      <c r="AB51" s="23" t="s">
        <v>62</v>
      </c>
      <c r="AC51" s="23" t="s">
        <v>63</v>
      </c>
      <c r="AD51" s="23" t="s">
        <v>49</v>
      </c>
      <c r="AE51" s="23" t="s">
        <v>49</v>
      </c>
      <c r="AF51" s="22" t="s">
        <v>73</v>
      </c>
      <c r="AG51" s="31">
        <v>2</v>
      </c>
      <c r="AH51" s="31">
        <v>0</v>
      </c>
      <c r="AI51" s="27">
        <v>45119</v>
      </c>
      <c r="AJ51" s="28">
        <f t="shared" ca="1" si="13"/>
        <v>4.822222222222222</v>
      </c>
      <c r="AK51" s="27">
        <f t="shared" si="14"/>
        <v>46919</v>
      </c>
      <c r="AL51" s="24" t="s">
        <v>304</v>
      </c>
      <c r="AM51" s="31"/>
      <c r="AN51" s="31"/>
    </row>
    <row r="52" spans="1:112" s="33" customFormat="1" ht="74.25" customHeight="1" x14ac:dyDescent="0.25">
      <c r="A52" s="22">
        <v>49</v>
      </c>
      <c r="B52" s="23" t="s">
        <v>45</v>
      </c>
      <c r="C52" s="24" t="s">
        <v>46</v>
      </c>
      <c r="D52" s="22" t="s">
        <v>305</v>
      </c>
      <c r="E52" s="25" t="s">
        <v>306</v>
      </c>
      <c r="F52" s="25"/>
      <c r="G52" s="23" t="s">
        <v>49</v>
      </c>
      <c r="H52" s="24" t="s">
        <v>135</v>
      </c>
      <c r="I52" s="24" t="s">
        <v>141</v>
      </c>
      <c r="J52" s="26">
        <v>44937</v>
      </c>
      <c r="K52" s="27">
        <v>45210</v>
      </c>
      <c r="L52" s="24">
        <f>5*30</f>
        <v>150</v>
      </c>
      <c r="M52" s="24">
        <f t="shared" ca="1" si="9"/>
        <v>149</v>
      </c>
      <c r="N52" s="22" t="str">
        <f t="shared" ca="1" si="10"/>
        <v>VIGENTE</v>
      </c>
      <c r="O52" s="27">
        <v>45332</v>
      </c>
      <c r="P52" s="27">
        <v>45126</v>
      </c>
      <c r="Q52" s="24">
        <f>5*30</f>
        <v>150</v>
      </c>
      <c r="R52" s="24">
        <f t="shared" ca="1" si="11"/>
        <v>65</v>
      </c>
      <c r="S52" s="22" t="str">
        <f t="shared" ca="1" si="12"/>
        <v>VIGENTE</v>
      </c>
      <c r="T52" s="27">
        <v>45248</v>
      </c>
      <c r="U52" s="27"/>
      <c r="V52" s="27"/>
      <c r="W52" s="22">
        <f t="shared" si="15"/>
        <v>0</v>
      </c>
      <c r="X52" s="24">
        <v>405</v>
      </c>
      <c r="Y52" s="29">
        <v>865605.37</v>
      </c>
      <c r="Z52" s="29">
        <f>[46]CADASTRO!$C$31</f>
        <v>559660.76</v>
      </c>
      <c r="AA52" s="30">
        <f>[46]CADASTRO!$C$32</f>
        <v>0.35344583178821998</v>
      </c>
      <c r="AB52" s="23" t="s">
        <v>52</v>
      </c>
      <c r="AC52" s="23" t="s">
        <v>142</v>
      </c>
      <c r="AD52" s="23" t="s">
        <v>49</v>
      </c>
      <c r="AE52" s="23" t="s">
        <v>49</v>
      </c>
      <c r="AF52" s="22" t="s">
        <v>229</v>
      </c>
      <c r="AG52" s="31">
        <v>1</v>
      </c>
      <c r="AH52" s="31">
        <v>0</v>
      </c>
      <c r="AI52" s="27">
        <v>45104</v>
      </c>
      <c r="AJ52" s="28">
        <f t="shared" ca="1" si="13"/>
        <v>4.7805555555555559</v>
      </c>
      <c r="AK52" s="27">
        <f t="shared" si="14"/>
        <v>46904</v>
      </c>
      <c r="AL52" s="24" t="s">
        <v>307</v>
      </c>
      <c r="AM52" s="31" t="s">
        <v>56</v>
      </c>
      <c r="AN52" s="32" t="s">
        <v>308</v>
      </c>
    </row>
    <row r="53" spans="1:112" s="33" customFormat="1" ht="74.25" customHeight="1" x14ac:dyDescent="0.25">
      <c r="A53" s="22">
        <v>50</v>
      </c>
      <c r="B53" s="23" t="s">
        <v>45</v>
      </c>
      <c r="C53" s="24" t="s">
        <v>46</v>
      </c>
      <c r="D53" s="22" t="s">
        <v>309</v>
      </c>
      <c r="E53" s="25" t="s">
        <v>310</v>
      </c>
      <c r="F53" s="25"/>
      <c r="G53" s="23" t="s">
        <v>49</v>
      </c>
      <c r="H53" s="24" t="s">
        <v>135</v>
      </c>
      <c r="I53" s="24" t="s">
        <v>141</v>
      </c>
      <c r="J53" s="26">
        <v>44939</v>
      </c>
      <c r="K53" s="27">
        <v>44939</v>
      </c>
      <c r="L53" s="28">
        <f>15*30</f>
        <v>450</v>
      </c>
      <c r="M53" s="24">
        <f t="shared" ca="1" si="9"/>
        <v>211</v>
      </c>
      <c r="N53" s="22" t="str">
        <f t="shared" ca="1" si="10"/>
        <v>VIGENTE</v>
      </c>
      <c r="O53" s="27">
        <v>45394</v>
      </c>
      <c r="P53" s="27">
        <v>44945</v>
      </c>
      <c r="Q53" s="28">
        <f>12*30</f>
        <v>360</v>
      </c>
      <c r="R53" s="24">
        <f t="shared" ca="1" si="11"/>
        <v>126</v>
      </c>
      <c r="S53" s="22" t="str">
        <f t="shared" ca="1" si="12"/>
        <v>VIGENTE</v>
      </c>
      <c r="T53" s="27">
        <v>45309</v>
      </c>
      <c r="U53" s="27"/>
      <c r="V53" s="27"/>
      <c r="W53" s="22">
        <f t="shared" si="15"/>
        <v>0</v>
      </c>
      <c r="X53" s="24">
        <v>405</v>
      </c>
      <c r="Y53" s="29">
        <v>2465807.6800000002</v>
      </c>
      <c r="Z53" s="29">
        <f>[47]CADASTRO!$C$31</f>
        <v>2141277.94</v>
      </c>
      <c r="AA53" s="30">
        <f>[47]CADASTRO!$C$32</f>
        <v>0.13161194306929899</v>
      </c>
      <c r="AB53" s="23" t="s">
        <v>52</v>
      </c>
      <c r="AC53" s="23" t="s">
        <v>142</v>
      </c>
      <c r="AD53" s="23" t="s">
        <v>49</v>
      </c>
      <c r="AE53" s="23" t="s">
        <v>49</v>
      </c>
      <c r="AF53" s="22" t="s">
        <v>73</v>
      </c>
      <c r="AG53" s="31">
        <v>0</v>
      </c>
      <c r="AH53" s="31">
        <v>0</v>
      </c>
      <c r="AI53" s="27">
        <f>J53</f>
        <v>44939</v>
      </c>
      <c r="AJ53" s="28">
        <f t="shared" ca="1" si="13"/>
        <v>4.322222222222222</v>
      </c>
      <c r="AK53" s="27">
        <f t="shared" si="14"/>
        <v>46739</v>
      </c>
      <c r="AL53" s="24"/>
      <c r="AM53" s="31"/>
      <c r="AN53" s="32"/>
    </row>
    <row r="54" spans="1:112" s="33" customFormat="1" ht="74.25" customHeight="1" x14ac:dyDescent="0.25">
      <c r="A54" s="22">
        <v>51</v>
      </c>
      <c r="B54" s="23" t="s">
        <v>45</v>
      </c>
      <c r="C54" s="24" t="s">
        <v>293</v>
      </c>
      <c r="D54" s="22" t="s">
        <v>311</v>
      </c>
      <c r="E54" s="25" t="s">
        <v>312</v>
      </c>
      <c r="F54" s="25"/>
      <c r="G54" s="23" t="s">
        <v>49</v>
      </c>
      <c r="H54" s="24" t="s">
        <v>78</v>
      </c>
      <c r="I54" s="24" t="s">
        <v>313</v>
      </c>
      <c r="J54" s="26">
        <v>44939</v>
      </c>
      <c r="K54" s="27">
        <v>45199</v>
      </c>
      <c r="L54" s="24">
        <f>4*30</f>
        <v>120</v>
      </c>
      <c r="M54" s="24">
        <f t="shared" ca="1" si="9"/>
        <v>105</v>
      </c>
      <c r="N54" s="22" t="str">
        <f t="shared" ca="1" si="10"/>
        <v>VIGENTE</v>
      </c>
      <c r="O54" s="27">
        <v>45288</v>
      </c>
      <c r="P54" s="27">
        <v>45125</v>
      </c>
      <c r="Q54" s="24">
        <f>3*30</f>
        <v>90</v>
      </c>
      <c r="R54" s="24">
        <f t="shared" ca="1" si="11"/>
        <v>31</v>
      </c>
      <c r="S54" s="22" t="str">
        <f t="shared" ca="1" si="12"/>
        <v>ADITAR</v>
      </c>
      <c r="T54" s="27">
        <v>45214</v>
      </c>
      <c r="U54" s="27"/>
      <c r="V54" s="27"/>
      <c r="W54" s="22">
        <f t="shared" si="15"/>
        <v>0</v>
      </c>
      <c r="X54" s="24">
        <v>405</v>
      </c>
      <c r="Y54" s="29">
        <v>2021718.93</v>
      </c>
      <c r="Z54" s="29">
        <f>[48]CADASTRO!$C$31</f>
        <v>1457190.2</v>
      </c>
      <c r="AA54" s="30">
        <f>[48]CADASTRO!$C$32</f>
        <v>0.27923205427967202</v>
      </c>
      <c r="AB54" s="23" t="s">
        <v>188</v>
      </c>
      <c r="AC54" s="23" t="s">
        <v>49</v>
      </c>
      <c r="AD54" s="23" t="s">
        <v>49</v>
      </c>
      <c r="AE54" s="23" t="s">
        <v>49</v>
      </c>
      <c r="AF54" s="22" t="s">
        <v>73</v>
      </c>
      <c r="AG54" s="31">
        <v>1</v>
      </c>
      <c r="AH54" s="31">
        <v>0</v>
      </c>
      <c r="AI54" s="27">
        <v>45132</v>
      </c>
      <c r="AJ54" s="28">
        <f t="shared" ca="1" si="13"/>
        <v>4.8583333333333334</v>
      </c>
      <c r="AK54" s="27">
        <f t="shared" si="14"/>
        <v>46932</v>
      </c>
      <c r="AL54" s="24"/>
      <c r="AM54" s="31"/>
      <c r="AN54" s="32"/>
    </row>
    <row r="55" spans="1:112" s="33" customFormat="1" ht="74.25" customHeight="1" x14ac:dyDescent="0.25">
      <c r="A55" s="22">
        <v>52</v>
      </c>
      <c r="B55" s="23" t="s">
        <v>45</v>
      </c>
      <c r="C55" s="24" t="s">
        <v>46</v>
      </c>
      <c r="D55" s="22" t="s">
        <v>314</v>
      </c>
      <c r="E55" s="25" t="s">
        <v>315</v>
      </c>
      <c r="F55" s="25"/>
      <c r="G55" s="23" t="s">
        <v>49</v>
      </c>
      <c r="H55" s="24" t="s">
        <v>135</v>
      </c>
      <c r="I55" s="24" t="s">
        <v>141</v>
      </c>
      <c r="J55" s="26">
        <v>44939</v>
      </c>
      <c r="K55" s="27">
        <v>45166</v>
      </c>
      <c r="L55" s="24">
        <f>1*30</f>
        <v>30</v>
      </c>
      <c r="M55" s="24">
        <f t="shared" ca="1" si="9"/>
        <v>26</v>
      </c>
      <c r="N55" s="22" t="str">
        <f t="shared" ca="1" si="10"/>
        <v>ADITAR</v>
      </c>
      <c r="O55" s="27">
        <v>45209</v>
      </c>
      <c r="P55" s="27">
        <v>45166</v>
      </c>
      <c r="Q55" s="24">
        <f>4*30</f>
        <v>120</v>
      </c>
      <c r="R55" s="24">
        <f t="shared" ca="1" si="11"/>
        <v>91</v>
      </c>
      <c r="S55" s="22" t="str">
        <f t="shared" ca="1" si="12"/>
        <v>VIGENTE</v>
      </c>
      <c r="T55" s="27">
        <v>45274</v>
      </c>
      <c r="U55" s="27"/>
      <c r="V55" s="27"/>
      <c r="W55" s="22">
        <f t="shared" si="15"/>
        <v>0</v>
      </c>
      <c r="X55" s="24">
        <v>405</v>
      </c>
      <c r="Y55" s="29">
        <v>1757632.91</v>
      </c>
      <c r="Z55" s="29">
        <f>[49]CADASTRO!$C$31</f>
        <v>1698912.09</v>
      </c>
      <c r="AA55" s="30">
        <f>[49]CADASTRO!$C$32</f>
        <v>3.3409035337191098E-2</v>
      </c>
      <c r="AB55" s="23" t="s">
        <v>52</v>
      </c>
      <c r="AC55" s="23" t="s">
        <v>142</v>
      </c>
      <c r="AD55" s="23" t="s">
        <v>49</v>
      </c>
      <c r="AE55" s="23" t="s">
        <v>49</v>
      </c>
      <c r="AF55" s="22" t="s">
        <v>54</v>
      </c>
      <c r="AG55" s="31">
        <v>0</v>
      </c>
      <c r="AH55" s="31">
        <v>0</v>
      </c>
      <c r="AI55" s="27">
        <f>J55</f>
        <v>44939</v>
      </c>
      <c r="AJ55" s="28">
        <f t="shared" ca="1" si="13"/>
        <v>4.322222222222222</v>
      </c>
      <c r="AK55" s="27">
        <f t="shared" si="14"/>
        <v>46739</v>
      </c>
      <c r="AL55" s="24" t="s">
        <v>316</v>
      </c>
      <c r="AM55" s="31" t="s">
        <v>56</v>
      </c>
      <c r="AN55" s="32" t="s">
        <v>317</v>
      </c>
    </row>
    <row r="56" spans="1:112" s="33" customFormat="1" ht="74.25" customHeight="1" x14ac:dyDescent="0.25">
      <c r="A56" s="22">
        <v>53</v>
      </c>
      <c r="B56" s="23" t="s">
        <v>45</v>
      </c>
      <c r="C56" s="24" t="s">
        <v>105</v>
      </c>
      <c r="D56" s="22" t="s">
        <v>318</v>
      </c>
      <c r="E56" s="25" t="s">
        <v>319</v>
      </c>
      <c r="F56" s="25"/>
      <c r="G56" s="23" t="s">
        <v>49</v>
      </c>
      <c r="H56" s="24" t="s">
        <v>117</v>
      </c>
      <c r="I56" s="24" t="s">
        <v>118</v>
      </c>
      <c r="J56" s="26">
        <v>44939</v>
      </c>
      <c r="K56" s="27">
        <v>44939</v>
      </c>
      <c r="L56" s="24">
        <f>11.7*30</f>
        <v>351</v>
      </c>
      <c r="M56" s="24">
        <f t="shared" ca="1" si="9"/>
        <v>106</v>
      </c>
      <c r="N56" s="22" t="str">
        <f t="shared" ca="1" si="10"/>
        <v>VIGENTE</v>
      </c>
      <c r="O56" s="27">
        <f>K56+350</f>
        <v>45289</v>
      </c>
      <c r="P56" s="27">
        <v>44956</v>
      </c>
      <c r="Q56" s="24">
        <f>9*30</f>
        <v>270</v>
      </c>
      <c r="R56" s="24">
        <f t="shared" ca="1" si="11"/>
        <v>43</v>
      </c>
      <c r="S56" s="22" t="str">
        <f t="shared" ca="1" si="12"/>
        <v>ADITAR</v>
      </c>
      <c r="T56" s="27">
        <f>P56+270</f>
        <v>45226</v>
      </c>
      <c r="U56" s="27"/>
      <c r="V56" s="27"/>
      <c r="W56" s="22">
        <f t="shared" si="15"/>
        <v>0</v>
      </c>
      <c r="X56" s="24">
        <v>405</v>
      </c>
      <c r="Y56" s="29">
        <v>5737465.6900000004</v>
      </c>
      <c r="Z56" s="29">
        <f>[44]CADASTRO!$C$31</f>
        <v>5737465.6900000004</v>
      </c>
      <c r="AA56" s="30">
        <f>[44]CADASTRO!$C$32</f>
        <v>0</v>
      </c>
      <c r="AB56" s="23" t="s">
        <v>137</v>
      </c>
      <c r="AC56" s="23" t="s">
        <v>62</v>
      </c>
      <c r="AD56" s="23" t="s">
        <v>49</v>
      </c>
      <c r="AE56" s="23" t="s">
        <v>49</v>
      </c>
      <c r="AF56" s="22" t="s">
        <v>54</v>
      </c>
      <c r="AG56" s="31">
        <v>0</v>
      </c>
      <c r="AH56" s="31">
        <v>0</v>
      </c>
      <c r="AI56" s="27">
        <f>J56</f>
        <v>44939</v>
      </c>
      <c r="AJ56" s="28">
        <f t="shared" ca="1" si="13"/>
        <v>4.322222222222222</v>
      </c>
      <c r="AK56" s="27">
        <f t="shared" si="14"/>
        <v>46739</v>
      </c>
      <c r="AL56" s="24"/>
      <c r="AM56" s="31" t="s">
        <v>56</v>
      </c>
      <c r="AN56" s="32" t="s">
        <v>320</v>
      </c>
    </row>
    <row r="57" spans="1:112" s="33" customFormat="1" ht="74.25" customHeight="1" x14ac:dyDescent="0.25">
      <c r="A57" s="22">
        <v>54</v>
      </c>
      <c r="B57" s="23" t="s">
        <v>45</v>
      </c>
      <c r="C57" s="24" t="s">
        <v>321</v>
      </c>
      <c r="D57" s="22" t="s">
        <v>322</v>
      </c>
      <c r="E57" s="25" t="s">
        <v>323</v>
      </c>
      <c r="F57" s="25"/>
      <c r="G57" s="23" t="s">
        <v>49</v>
      </c>
      <c r="H57" s="24" t="s">
        <v>78</v>
      </c>
      <c r="I57" s="24" t="s">
        <v>112</v>
      </c>
      <c r="J57" s="26">
        <v>44956</v>
      </c>
      <c r="K57" s="27">
        <v>45226</v>
      </c>
      <c r="L57" s="24">
        <f>4*30</f>
        <v>120</v>
      </c>
      <c r="M57" s="24">
        <f t="shared" ca="1" si="9"/>
        <v>132</v>
      </c>
      <c r="N57" s="22" t="str">
        <f t="shared" ca="1" si="10"/>
        <v>VIGENTE</v>
      </c>
      <c r="O57" s="27">
        <v>45315</v>
      </c>
      <c r="P57" s="27">
        <v>45144</v>
      </c>
      <c r="Q57" s="24">
        <f>4*30</f>
        <v>120</v>
      </c>
      <c r="R57" s="24">
        <f t="shared" ca="1" si="11"/>
        <v>50</v>
      </c>
      <c r="S57" s="22" t="str">
        <f t="shared" ca="1" si="12"/>
        <v>ADITAR</v>
      </c>
      <c r="T57" s="27">
        <v>45233</v>
      </c>
      <c r="U57" s="27"/>
      <c r="V57" s="27"/>
      <c r="W57" s="22">
        <f t="shared" si="15"/>
        <v>0</v>
      </c>
      <c r="X57" s="24">
        <v>6402</v>
      </c>
      <c r="Y57" s="29">
        <v>2449662.33</v>
      </c>
      <c r="Z57" s="29">
        <f>[50]CADASTRO!$C$31</f>
        <v>842944.96</v>
      </c>
      <c r="AA57" s="30">
        <f>[50]CADASTRO!$C$32</f>
        <v>0.65613757529375705</v>
      </c>
      <c r="AB57" s="23" t="s">
        <v>235</v>
      </c>
      <c r="AC57" s="23"/>
      <c r="AD57" s="23" t="s">
        <v>49</v>
      </c>
      <c r="AE57" s="23" t="s">
        <v>49</v>
      </c>
      <c r="AF57" s="22" t="s">
        <v>73</v>
      </c>
      <c r="AG57" s="31">
        <v>2</v>
      </c>
      <c r="AH57" s="31">
        <v>0</v>
      </c>
      <c r="AI57" s="27">
        <v>45140</v>
      </c>
      <c r="AJ57" s="28">
        <f t="shared" ca="1" si="13"/>
        <v>4.8805555555555555</v>
      </c>
      <c r="AK57" s="27">
        <f t="shared" si="14"/>
        <v>46940</v>
      </c>
      <c r="AL57" s="24" t="s">
        <v>324</v>
      </c>
      <c r="AM57" s="31"/>
      <c r="AN57" s="32"/>
    </row>
    <row r="58" spans="1:112" s="33" customFormat="1" ht="74.25" customHeight="1" x14ac:dyDescent="0.25">
      <c r="A58" s="22">
        <v>55</v>
      </c>
      <c r="B58" s="23" t="s">
        <v>45</v>
      </c>
      <c r="C58" s="24" t="s">
        <v>293</v>
      </c>
      <c r="D58" s="22" t="s">
        <v>325</v>
      </c>
      <c r="E58" s="25" t="s">
        <v>326</v>
      </c>
      <c r="F58" s="25"/>
      <c r="G58" s="23" t="s">
        <v>49</v>
      </c>
      <c r="H58" s="24" t="s">
        <v>135</v>
      </c>
      <c r="I58" s="24" t="s">
        <v>136</v>
      </c>
      <c r="J58" s="26">
        <v>44958</v>
      </c>
      <c r="K58" s="27">
        <v>44958</v>
      </c>
      <c r="L58" s="24">
        <f>11*30</f>
        <v>330</v>
      </c>
      <c r="M58" s="24">
        <f t="shared" ca="1" si="9"/>
        <v>105</v>
      </c>
      <c r="N58" s="22" t="str">
        <f t="shared" ca="1" si="10"/>
        <v>VIGENTE</v>
      </c>
      <c r="O58" s="27">
        <f>K58+330</f>
        <v>45288</v>
      </c>
      <c r="P58" s="27">
        <v>44985</v>
      </c>
      <c r="Q58" s="24">
        <f>8*30</f>
        <v>240</v>
      </c>
      <c r="R58" s="24">
        <f t="shared" ca="1" si="11"/>
        <v>42</v>
      </c>
      <c r="S58" s="22" t="str">
        <f t="shared" ca="1" si="12"/>
        <v>ADITAR</v>
      </c>
      <c r="T58" s="27">
        <f>P58+240</f>
        <v>45225</v>
      </c>
      <c r="U58" s="27"/>
      <c r="V58" s="27"/>
      <c r="W58" s="22">
        <f t="shared" si="15"/>
        <v>0</v>
      </c>
      <c r="X58" s="24">
        <v>6405</v>
      </c>
      <c r="Y58" s="29">
        <v>2984969.85</v>
      </c>
      <c r="Z58" s="29">
        <f>[51]CADASTRO!$C$31</f>
        <v>2826137.25</v>
      </c>
      <c r="AA58" s="30">
        <f>[51]CADASTRO!$C$32</f>
        <v>5.3210788711986499E-2</v>
      </c>
      <c r="AB58" s="23" t="s">
        <v>188</v>
      </c>
      <c r="AC58" s="23" t="s">
        <v>49</v>
      </c>
      <c r="AD58" s="23" t="s">
        <v>49</v>
      </c>
      <c r="AE58" s="23" t="s">
        <v>49</v>
      </c>
      <c r="AF58" s="22" t="s">
        <v>73</v>
      </c>
      <c r="AG58" s="31">
        <v>0</v>
      </c>
      <c r="AH58" s="31">
        <v>0</v>
      </c>
      <c r="AI58" s="27">
        <f>J58</f>
        <v>44958</v>
      </c>
      <c r="AJ58" s="28">
        <f t="shared" ca="1" si="13"/>
        <v>4.375</v>
      </c>
      <c r="AK58" s="27">
        <f t="shared" si="14"/>
        <v>46758</v>
      </c>
      <c r="AL58" s="24"/>
      <c r="AM58" s="31"/>
      <c r="AN58" s="32"/>
    </row>
    <row r="59" spans="1:112" s="33" customFormat="1" ht="74.25" customHeight="1" x14ac:dyDescent="0.25">
      <c r="A59" s="22">
        <v>56</v>
      </c>
      <c r="B59" s="23" t="s">
        <v>327</v>
      </c>
      <c r="C59" s="24" t="s">
        <v>328</v>
      </c>
      <c r="D59" s="22" t="s">
        <v>329</v>
      </c>
      <c r="E59" s="25" t="s">
        <v>330</v>
      </c>
      <c r="F59" s="25"/>
      <c r="G59" s="23" t="s">
        <v>331</v>
      </c>
      <c r="H59" s="24" t="s">
        <v>50</v>
      </c>
      <c r="I59" s="24" t="s">
        <v>50</v>
      </c>
      <c r="J59" s="26">
        <v>41261</v>
      </c>
      <c r="K59" s="27">
        <v>41261</v>
      </c>
      <c r="L59" s="24">
        <f>243*30</f>
        <v>7290</v>
      </c>
      <c r="M59" s="24">
        <f t="shared" ca="1" si="9"/>
        <v>3382</v>
      </c>
      <c r="N59" s="22" t="str">
        <f t="shared" ca="1" si="10"/>
        <v>VIGENTE</v>
      </c>
      <c r="O59" s="27">
        <v>48565</v>
      </c>
      <c r="P59" s="27">
        <v>41261</v>
      </c>
      <c r="Q59" s="24">
        <f>243*30</f>
        <v>7290</v>
      </c>
      <c r="R59" s="24">
        <f t="shared" ca="1" si="11"/>
        <v>3382</v>
      </c>
      <c r="S59" s="22" t="str">
        <f t="shared" ca="1" si="12"/>
        <v>VIGENTE</v>
      </c>
      <c r="T59" s="27">
        <v>48565</v>
      </c>
      <c r="U59" s="27"/>
      <c r="V59" s="27"/>
      <c r="W59" s="22">
        <f t="shared" si="15"/>
        <v>0</v>
      </c>
      <c r="X59" s="24" t="s">
        <v>49</v>
      </c>
      <c r="Y59" s="29">
        <v>121776000</v>
      </c>
      <c r="Z59" s="29">
        <v>0</v>
      </c>
      <c r="AA59" s="30">
        <f>Z59/Y59</f>
        <v>0</v>
      </c>
      <c r="AB59" s="23" t="s">
        <v>332</v>
      </c>
      <c r="AC59" s="23" t="s">
        <v>333</v>
      </c>
      <c r="AD59" s="23" t="s">
        <v>49</v>
      </c>
      <c r="AE59" s="23" t="s">
        <v>49</v>
      </c>
      <c r="AF59" s="22" t="s">
        <v>229</v>
      </c>
      <c r="AG59" s="31">
        <v>0</v>
      </c>
      <c r="AH59" s="31">
        <v>0</v>
      </c>
      <c r="AI59" s="27">
        <f>J59</f>
        <v>41261</v>
      </c>
      <c r="AJ59" s="28">
        <f t="shared" ca="1" si="13"/>
        <v>-5.8944444444444448</v>
      </c>
      <c r="AK59" s="27">
        <f t="shared" si="14"/>
        <v>43061</v>
      </c>
      <c r="AL59" s="24"/>
      <c r="AM59" s="31"/>
      <c r="AN59" s="32" t="s">
        <v>334</v>
      </c>
    </row>
    <row r="60" spans="1:112" s="33" customFormat="1" ht="74.25" customHeight="1" x14ac:dyDescent="0.25">
      <c r="A60" s="22">
        <v>57</v>
      </c>
      <c r="B60" s="23" t="s">
        <v>327</v>
      </c>
      <c r="C60" s="24" t="s">
        <v>335</v>
      </c>
      <c r="D60" s="22" t="s">
        <v>336</v>
      </c>
      <c r="E60" s="25" t="s">
        <v>337</v>
      </c>
      <c r="F60" s="25"/>
      <c r="G60" s="23"/>
      <c r="H60" s="24" t="s">
        <v>71</v>
      </c>
      <c r="I60" s="24" t="s">
        <v>71</v>
      </c>
      <c r="J60" s="26">
        <v>44302</v>
      </c>
      <c r="K60" s="27">
        <v>44302</v>
      </c>
      <c r="L60" s="24">
        <f>48*30</f>
        <v>1440</v>
      </c>
      <c r="M60" s="24">
        <f t="shared" ca="1" si="9"/>
        <v>579</v>
      </c>
      <c r="N60" s="22" t="str">
        <f t="shared" ca="1" si="10"/>
        <v>VIGENTE</v>
      </c>
      <c r="O60" s="27">
        <v>45762</v>
      </c>
      <c r="P60" s="27">
        <v>44302</v>
      </c>
      <c r="Q60" s="24">
        <f>48*30</f>
        <v>1440</v>
      </c>
      <c r="R60" s="24">
        <f t="shared" ca="1" si="11"/>
        <v>559</v>
      </c>
      <c r="S60" s="22" t="str">
        <f t="shared" ca="1" si="12"/>
        <v>VIGENTE</v>
      </c>
      <c r="T60" s="27">
        <v>45742</v>
      </c>
      <c r="U60" s="27"/>
      <c r="V60" s="27"/>
      <c r="W60" s="22">
        <f t="shared" si="15"/>
        <v>0</v>
      </c>
      <c r="X60" s="24">
        <v>5752</v>
      </c>
      <c r="Y60" s="29">
        <v>0</v>
      </c>
      <c r="Z60" s="29">
        <v>0</v>
      </c>
      <c r="AA60" s="30">
        <v>0</v>
      </c>
      <c r="AB60" s="23" t="s">
        <v>338</v>
      </c>
      <c r="AC60" s="23" t="s">
        <v>49</v>
      </c>
      <c r="AD60" s="23" t="s">
        <v>49</v>
      </c>
      <c r="AE60" s="23" t="s">
        <v>49</v>
      </c>
      <c r="AF60" s="22" t="s">
        <v>73</v>
      </c>
      <c r="AG60" s="31">
        <v>0</v>
      </c>
      <c r="AH60" s="31">
        <v>0</v>
      </c>
      <c r="AI60" s="27">
        <f>J60</f>
        <v>44302</v>
      </c>
      <c r="AJ60" s="28">
        <f t="shared" ca="1" si="13"/>
        <v>2.5527777777777776</v>
      </c>
      <c r="AK60" s="27">
        <f t="shared" si="14"/>
        <v>46102</v>
      </c>
      <c r="AL60" s="24"/>
      <c r="AM60" s="31"/>
      <c r="AN60" s="32"/>
    </row>
    <row r="61" spans="1:112" s="33" customFormat="1" ht="86.25" customHeight="1" x14ac:dyDescent="0.25">
      <c r="A61" s="22">
        <v>58</v>
      </c>
      <c r="B61" s="23" t="s">
        <v>327</v>
      </c>
      <c r="C61" s="24" t="s">
        <v>339</v>
      </c>
      <c r="D61" s="22" t="s">
        <v>340</v>
      </c>
      <c r="E61" s="25" t="s">
        <v>341</v>
      </c>
      <c r="F61" s="25"/>
      <c r="G61" s="23" t="s">
        <v>49</v>
      </c>
      <c r="H61" s="24" t="s">
        <v>71</v>
      </c>
      <c r="I61" s="24" t="s">
        <v>71</v>
      </c>
      <c r="J61" s="26">
        <v>44538</v>
      </c>
      <c r="K61" s="27">
        <v>44903</v>
      </c>
      <c r="L61" s="24">
        <f>12*30</f>
        <v>360</v>
      </c>
      <c r="M61" s="24">
        <f t="shared" ca="1" si="9"/>
        <v>84</v>
      </c>
      <c r="N61" s="22" t="str">
        <f t="shared" ca="1" si="10"/>
        <v>VIGENTE</v>
      </c>
      <c r="O61" s="27">
        <v>45267</v>
      </c>
      <c r="P61" s="27">
        <v>44903</v>
      </c>
      <c r="Q61" s="24">
        <f>12*30</f>
        <v>360</v>
      </c>
      <c r="R61" s="24">
        <f t="shared" ca="1" si="11"/>
        <v>84</v>
      </c>
      <c r="S61" s="22" t="str">
        <f t="shared" ca="1" si="12"/>
        <v>VIGENTE</v>
      </c>
      <c r="T61" s="27">
        <v>45267</v>
      </c>
      <c r="U61" s="27"/>
      <c r="V61" s="27"/>
      <c r="W61" s="22">
        <f t="shared" si="15"/>
        <v>0</v>
      </c>
      <c r="X61" s="23" t="s">
        <v>342</v>
      </c>
      <c r="Y61" s="29">
        <v>6512981.1200000001</v>
      </c>
      <c r="Z61" s="29">
        <f>Y61-180259.97-171831.68-171831.68-166974.56</f>
        <v>5822083.2300000014</v>
      </c>
      <c r="AA61" s="30">
        <f>1-(Z61/Y61)</f>
        <v>0.10608013093702917</v>
      </c>
      <c r="AB61" s="23" t="s">
        <v>236</v>
      </c>
      <c r="AC61" s="23" t="s">
        <v>49</v>
      </c>
      <c r="AD61" s="23" t="s">
        <v>49</v>
      </c>
      <c r="AE61" s="23" t="s">
        <v>49</v>
      </c>
      <c r="AF61" s="22" t="s">
        <v>73</v>
      </c>
      <c r="AG61" s="31">
        <v>2</v>
      </c>
      <c r="AH61" s="31">
        <v>0</v>
      </c>
      <c r="AI61" s="27">
        <v>44999</v>
      </c>
      <c r="AJ61" s="28">
        <f t="shared" ca="1" si="13"/>
        <v>4.4888888888888889</v>
      </c>
      <c r="AK61" s="27">
        <f t="shared" si="14"/>
        <v>46799</v>
      </c>
      <c r="AL61" s="24"/>
      <c r="AM61" s="31"/>
      <c r="AN61" s="32"/>
    </row>
    <row r="62" spans="1:112" s="33" customFormat="1" ht="74.25" customHeight="1" x14ac:dyDescent="0.25">
      <c r="A62" s="22">
        <v>59</v>
      </c>
      <c r="B62" s="23" t="s">
        <v>327</v>
      </c>
      <c r="C62" s="24" t="s">
        <v>343</v>
      </c>
      <c r="D62" s="22" t="s">
        <v>344</v>
      </c>
      <c r="E62" s="25" t="s">
        <v>345</v>
      </c>
      <c r="F62" s="25"/>
      <c r="G62" s="23" t="s">
        <v>49</v>
      </c>
      <c r="H62" s="24" t="s">
        <v>71</v>
      </c>
      <c r="I62" s="24" t="s">
        <v>71</v>
      </c>
      <c r="J62" s="26">
        <v>44182</v>
      </c>
      <c r="K62" s="27">
        <v>44913</v>
      </c>
      <c r="L62" s="24">
        <f>12*30</f>
        <v>360</v>
      </c>
      <c r="M62" s="24">
        <f t="shared" ca="1" si="9"/>
        <v>94</v>
      </c>
      <c r="N62" s="22" t="str">
        <f t="shared" ca="1" si="10"/>
        <v>VIGENTE</v>
      </c>
      <c r="O62" s="27">
        <v>45277</v>
      </c>
      <c r="P62" s="27">
        <v>44913</v>
      </c>
      <c r="Q62" s="24">
        <f>12*30</f>
        <v>360</v>
      </c>
      <c r="R62" s="24">
        <f t="shared" ca="1" si="11"/>
        <v>94</v>
      </c>
      <c r="S62" s="22" t="str">
        <f t="shared" ca="1" si="12"/>
        <v>VIGENTE</v>
      </c>
      <c r="T62" s="27">
        <v>45277</v>
      </c>
      <c r="U62" s="27"/>
      <c r="V62" s="27"/>
      <c r="W62" s="22">
        <f t="shared" si="15"/>
        <v>0</v>
      </c>
      <c r="X62" s="24" t="s">
        <v>49</v>
      </c>
      <c r="Y62" s="29">
        <v>289320</v>
      </c>
      <c r="Z62" s="29">
        <f>Y62-(24110*2)</f>
        <v>241100</v>
      </c>
      <c r="AA62" s="30">
        <f>(Z62/Y62)</f>
        <v>0.83333333333333337</v>
      </c>
      <c r="AB62" s="23" t="s">
        <v>346</v>
      </c>
      <c r="AC62" s="23" t="s">
        <v>49</v>
      </c>
      <c r="AD62" s="23" t="s">
        <v>49</v>
      </c>
      <c r="AE62" s="23" t="s">
        <v>49</v>
      </c>
      <c r="AF62" s="22" t="s">
        <v>73</v>
      </c>
      <c r="AG62" s="31">
        <v>3</v>
      </c>
      <c r="AH62" s="31">
        <v>0</v>
      </c>
      <c r="AI62" s="27">
        <v>44939</v>
      </c>
      <c r="AJ62" s="28">
        <f t="shared" ca="1" si="13"/>
        <v>4.322222222222222</v>
      </c>
      <c r="AK62" s="27">
        <f t="shared" si="14"/>
        <v>46739</v>
      </c>
      <c r="AL62" s="24"/>
      <c r="AM62" s="31"/>
      <c r="AN62" s="32"/>
    </row>
    <row r="63" spans="1:112" s="33" customFormat="1" ht="106.5" customHeight="1" x14ac:dyDescent="0.25">
      <c r="A63" s="22">
        <v>60</v>
      </c>
      <c r="B63" s="23" t="s">
        <v>327</v>
      </c>
      <c r="C63" s="24" t="s">
        <v>347</v>
      </c>
      <c r="D63" s="22" t="s">
        <v>348</v>
      </c>
      <c r="E63" s="25" t="s">
        <v>349</v>
      </c>
      <c r="F63" s="25"/>
      <c r="G63" s="23" t="s">
        <v>331</v>
      </c>
      <c r="H63" s="24" t="s">
        <v>71</v>
      </c>
      <c r="I63" s="24" t="s">
        <v>71</v>
      </c>
      <c r="J63" s="26">
        <v>44060</v>
      </c>
      <c r="K63" s="27">
        <v>44060</v>
      </c>
      <c r="L63" s="24">
        <f>122*30</f>
        <v>3660</v>
      </c>
      <c r="M63" s="24">
        <f t="shared" ca="1" si="9"/>
        <v>2528</v>
      </c>
      <c r="N63" s="22" t="str">
        <f t="shared" ca="1" si="10"/>
        <v>VIGENTE</v>
      </c>
      <c r="O63" s="27">
        <v>47711</v>
      </c>
      <c r="P63" s="27">
        <v>44060</v>
      </c>
      <c r="Q63" s="24">
        <f>122*30</f>
        <v>3660</v>
      </c>
      <c r="R63" s="24">
        <f t="shared" ca="1" si="11"/>
        <v>2528</v>
      </c>
      <c r="S63" s="22" t="str">
        <f t="shared" ca="1" si="12"/>
        <v>VIGENTE</v>
      </c>
      <c r="T63" s="27">
        <v>47711</v>
      </c>
      <c r="U63" s="27"/>
      <c r="V63" s="27"/>
      <c r="W63" s="22">
        <f t="shared" si="15"/>
        <v>0</v>
      </c>
      <c r="X63" s="24" t="s">
        <v>49</v>
      </c>
      <c r="Y63" s="29">
        <v>0</v>
      </c>
      <c r="Z63" s="29">
        <v>0</v>
      </c>
      <c r="AA63" s="30">
        <v>0</v>
      </c>
      <c r="AB63" s="23" t="s">
        <v>338</v>
      </c>
      <c r="AC63" s="23" t="s">
        <v>49</v>
      </c>
      <c r="AD63" s="23" t="s">
        <v>49</v>
      </c>
      <c r="AE63" s="23" t="s">
        <v>49</v>
      </c>
      <c r="AF63" s="22" t="s">
        <v>73</v>
      </c>
      <c r="AG63" s="31">
        <v>2</v>
      </c>
      <c r="AH63" s="31">
        <v>0</v>
      </c>
      <c r="AI63" s="27">
        <v>45152</v>
      </c>
      <c r="AJ63" s="28">
        <f t="shared" ca="1" si="13"/>
        <v>4.9138888888888888</v>
      </c>
      <c r="AK63" s="27">
        <f t="shared" si="14"/>
        <v>46952</v>
      </c>
      <c r="AL63" s="24"/>
      <c r="AM63" s="31"/>
      <c r="AN63" s="32"/>
    </row>
    <row r="64" spans="1:112" s="33" customFormat="1" ht="74.25" customHeight="1" x14ac:dyDescent="0.25">
      <c r="A64" s="22">
        <v>61</v>
      </c>
      <c r="B64" s="23" t="s">
        <v>327</v>
      </c>
      <c r="C64" s="24" t="s">
        <v>350</v>
      </c>
      <c r="D64" s="22" t="s">
        <v>351</v>
      </c>
      <c r="E64" s="25" t="s">
        <v>352</v>
      </c>
      <c r="F64" s="25"/>
      <c r="G64" s="23" t="s">
        <v>146</v>
      </c>
      <c r="H64" s="24" t="s">
        <v>71</v>
      </c>
      <c r="I64" s="24" t="s">
        <v>71</v>
      </c>
      <c r="J64" s="26">
        <v>44540</v>
      </c>
      <c r="K64" s="27">
        <v>44906</v>
      </c>
      <c r="L64" s="24">
        <f>12*30</f>
        <v>360</v>
      </c>
      <c r="M64" s="24">
        <f t="shared" ca="1" si="9"/>
        <v>87</v>
      </c>
      <c r="N64" s="22" t="str">
        <f t="shared" ca="1" si="10"/>
        <v>VIGENTE</v>
      </c>
      <c r="O64" s="27">
        <v>45270</v>
      </c>
      <c r="P64" s="27">
        <v>44906</v>
      </c>
      <c r="Q64" s="24">
        <f>12*30</f>
        <v>360</v>
      </c>
      <c r="R64" s="24">
        <f t="shared" ca="1" si="11"/>
        <v>87</v>
      </c>
      <c r="S64" s="22" t="str">
        <f t="shared" ca="1" si="12"/>
        <v>VIGENTE</v>
      </c>
      <c r="T64" s="27">
        <v>45270</v>
      </c>
      <c r="U64" s="27"/>
      <c r="V64" s="27"/>
      <c r="W64" s="22">
        <f t="shared" si="15"/>
        <v>0</v>
      </c>
      <c r="X64" s="24">
        <v>5752</v>
      </c>
      <c r="Y64" s="29">
        <v>1840000</v>
      </c>
      <c r="Z64" s="29">
        <v>0</v>
      </c>
      <c r="AA64" s="30">
        <f>Z64/Y64</f>
        <v>0</v>
      </c>
      <c r="AB64" s="23" t="s">
        <v>353</v>
      </c>
      <c r="AC64" s="23" t="s">
        <v>170</v>
      </c>
      <c r="AD64" s="23" t="s">
        <v>49</v>
      </c>
      <c r="AE64" s="23" t="s">
        <v>49</v>
      </c>
      <c r="AF64" s="22" t="s">
        <v>73</v>
      </c>
      <c r="AG64" s="31">
        <v>2</v>
      </c>
      <c r="AH64" s="31">
        <v>0</v>
      </c>
      <c r="AI64" s="27">
        <f>J64</f>
        <v>44540</v>
      </c>
      <c r="AJ64" s="28">
        <f t="shared" ca="1" si="13"/>
        <v>3.213888888888889</v>
      </c>
      <c r="AK64" s="27">
        <f t="shared" si="14"/>
        <v>46340</v>
      </c>
      <c r="AL64" s="24"/>
      <c r="AM64" s="31"/>
      <c r="AN64" s="32"/>
    </row>
    <row r="65" spans="1:40" s="33" customFormat="1" ht="74.25" customHeight="1" x14ac:dyDescent="0.25">
      <c r="A65" s="22">
        <v>62</v>
      </c>
      <c r="B65" s="23" t="s">
        <v>327</v>
      </c>
      <c r="C65" s="24" t="s">
        <v>232</v>
      </c>
      <c r="D65" s="22" t="s">
        <v>354</v>
      </c>
      <c r="E65" s="25" t="s">
        <v>355</v>
      </c>
      <c r="F65" s="25"/>
      <c r="G65" s="23" t="s">
        <v>146</v>
      </c>
      <c r="H65" s="24" t="s">
        <v>50</v>
      </c>
      <c r="I65" s="24" t="s">
        <v>50</v>
      </c>
      <c r="J65" s="26">
        <v>44183</v>
      </c>
      <c r="K65" s="27">
        <v>44911</v>
      </c>
      <c r="L65" s="24">
        <f>12*30</f>
        <v>360</v>
      </c>
      <c r="M65" s="24">
        <f t="shared" ca="1" si="9"/>
        <v>92</v>
      </c>
      <c r="N65" s="22" t="str">
        <f t="shared" ca="1" si="10"/>
        <v>VIGENTE</v>
      </c>
      <c r="O65" s="27">
        <v>45275</v>
      </c>
      <c r="P65" s="27">
        <v>44911</v>
      </c>
      <c r="Q65" s="24">
        <f>12*30</f>
        <v>360</v>
      </c>
      <c r="R65" s="24">
        <f t="shared" ca="1" si="11"/>
        <v>92</v>
      </c>
      <c r="S65" s="22" t="str">
        <f t="shared" ca="1" si="12"/>
        <v>VIGENTE</v>
      </c>
      <c r="T65" s="27">
        <v>45275</v>
      </c>
      <c r="U65" s="27"/>
      <c r="V65" s="27"/>
      <c r="W65" s="22">
        <f t="shared" si="15"/>
        <v>0</v>
      </c>
      <c r="X65" s="24" t="s">
        <v>356</v>
      </c>
      <c r="Y65" s="29">
        <v>625000</v>
      </c>
      <c r="Z65" s="29">
        <v>0</v>
      </c>
      <c r="AA65" s="30">
        <f>Z65/Y65</f>
        <v>0</v>
      </c>
      <c r="AB65" s="23" t="s">
        <v>236</v>
      </c>
      <c r="AC65" s="23" t="s">
        <v>235</v>
      </c>
      <c r="AD65" s="23" t="s">
        <v>49</v>
      </c>
      <c r="AE65" s="23" t="s">
        <v>49</v>
      </c>
      <c r="AF65" s="22" t="s">
        <v>73</v>
      </c>
      <c r="AG65" s="31">
        <v>4</v>
      </c>
      <c r="AH65" s="31">
        <v>0</v>
      </c>
      <c r="AI65" s="27">
        <f>J65</f>
        <v>44183</v>
      </c>
      <c r="AJ65" s="28">
        <f t="shared" ca="1" si="13"/>
        <v>2.2222222222222223</v>
      </c>
      <c r="AK65" s="27">
        <f t="shared" si="14"/>
        <v>45983</v>
      </c>
      <c r="AL65" s="24"/>
      <c r="AM65" s="31" t="s">
        <v>357</v>
      </c>
      <c r="AN65" s="32"/>
    </row>
    <row r="66" spans="1:40" s="33" customFormat="1" ht="99" customHeight="1" x14ac:dyDescent="0.25">
      <c r="A66" s="22">
        <v>63</v>
      </c>
      <c r="B66" s="23" t="s">
        <v>327</v>
      </c>
      <c r="C66" s="24" t="s">
        <v>358</v>
      </c>
      <c r="D66" s="22" t="s">
        <v>359</v>
      </c>
      <c r="E66" s="25" t="s">
        <v>360</v>
      </c>
      <c r="F66" s="25"/>
      <c r="G66" s="23" t="s">
        <v>331</v>
      </c>
      <c r="H66" s="24" t="s">
        <v>71</v>
      </c>
      <c r="I66" s="24" t="s">
        <v>71</v>
      </c>
      <c r="J66" s="26">
        <v>41759</v>
      </c>
      <c r="K66" s="27">
        <v>41759</v>
      </c>
      <c r="L66" s="24">
        <f>249*30</f>
        <v>7470</v>
      </c>
      <c r="M66" s="24">
        <f t="shared" ca="1" si="9"/>
        <v>4066</v>
      </c>
      <c r="N66" s="22" t="str">
        <f t="shared" ca="1" si="10"/>
        <v>VIGENTE</v>
      </c>
      <c r="O66" s="27">
        <v>49249</v>
      </c>
      <c r="P66" s="27">
        <v>41759</v>
      </c>
      <c r="Q66" s="24">
        <f>249*30</f>
        <v>7470</v>
      </c>
      <c r="R66" s="24">
        <f t="shared" ca="1" si="11"/>
        <v>4066</v>
      </c>
      <c r="S66" s="22" t="str">
        <f t="shared" ca="1" si="12"/>
        <v>VIGENTE</v>
      </c>
      <c r="T66" s="27">
        <v>49249</v>
      </c>
      <c r="U66" s="27"/>
      <c r="V66" s="27"/>
      <c r="W66" s="22">
        <f t="shared" si="15"/>
        <v>0</v>
      </c>
      <c r="X66" s="24" t="s">
        <v>49</v>
      </c>
      <c r="Y66" s="29">
        <v>96874359</v>
      </c>
      <c r="Z66" s="29">
        <v>0</v>
      </c>
      <c r="AA66" s="30">
        <f>Z66/Y66</f>
        <v>0</v>
      </c>
      <c r="AB66" s="23" t="s">
        <v>357</v>
      </c>
      <c r="AC66" s="23" t="s">
        <v>361</v>
      </c>
      <c r="AD66" s="23" t="s">
        <v>362</v>
      </c>
      <c r="AE66" s="23" t="s">
        <v>49</v>
      </c>
      <c r="AF66" s="22" t="s">
        <v>54</v>
      </c>
      <c r="AG66" s="31">
        <v>2</v>
      </c>
      <c r="AH66" s="31">
        <v>0</v>
      </c>
      <c r="AI66" s="27">
        <f>J66</f>
        <v>41759</v>
      </c>
      <c r="AJ66" s="28">
        <f t="shared" ca="1" si="13"/>
        <v>-4.5111111111111111</v>
      </c>
      <c r="AK66" s="27">
        <f t="shared" si="14"/>
        <v>43559</v>
      </c>
      <c r="AL66" s="24" t="s">
        <v>363</v>
      </c>
      <c r="AM66" s="31" t="s">
        <v>103</v>
      </c>
      <c r="AN66" s="47" t="s">
        <v>364</v>
      </c>
    </row>
    <row r="67" spans="1:40" s="33" customFormat="1" ht="74.25" customHeight="1" x14ac:dyDescent="0.25">
      <c r="A67" s="22">
        <v>64</v>
      </c>
      <c r="B67" s="23" t="s">
        <v>327</v>
      </c>
      <c r="C67" s="24" t="s">
        <v>365</v>
      </c>
      <c r="D67" s="22" t="s">
        <v>366</v>
      </c>
      <c r="E67" s="25" t="s">
        <v>367</v>
      </c>
      <c r="F67" s="25"/>
      <c r="G67" s="23" t="s">
        <v>49</v>
      </c>
      <c r="H67" s="24" t="s">
        <v>71</v>
      </c>
      <c r="I67" s="24" t="s">
        <v>71</v>
      </c>
      <c r="J67" s="26">
        <v>43559</v>
      </c>
      <c r="K67" s="27">
        <v>45020</v>
      </c>
      <c r="L67" s="24">
        <f>9*30</f>
        <v>270</v>
      </c>
      <c r="M67" s="24">
        <f t="shared" ca="1" si="9"/>
        <v>108</v>
      </c>
      <c r="N67" s="22" t="str">
        <f t="shared" ca="1" si="10"/>
        <v>VIGENTE</v>
      </c>
      <c r="O67" s="27">
        <v>45291</v>
      </c>
      <c r="P67" s="27">
        <v>45020</v>
      </c>
      <c r="Q67" s="24">
        <f t="shared" ref="Q67:Q72" si="16">12*30</f>
        <v>360</v>
      </c>
      <c r="R67" s="24">
        <f t="shared" ca="1" si="11"/>
        <v>108</v>
      </c>
      <c r="S67" s="22" t="str">
        <f t="shared" ca="1" si="12"/>
        <v>VIGENTE</v>
      </c>
      <c r="T67" s="27">
        <v>45291</v>
      </c>
      <c r="U67" s="27"/>
      <c r="V67" s="27"/>
      <c r="W67" s="22">
        <f t="shared" si="15"/>
        <v>0</v>
      </c>
      <c r="X67" s="24" t="s">
        <v>49</v>
      </c>
      <c r="Y67" s="29">
        <v>94959.78</v>
      </c>
      <c r="Z67" s="29">
        <v>0</v>
      </c>
      <c r="AA67" s="30">
        <v>0</v>
      </c>
      <c r="AB67" s="23" t="s">
        <v>368</v>
      </c>
      <c r="AC67" s="23" t="s">
        <v>49</v>
      </c>
      <c r="AD67" s="23" t="s">
        <v>49</v>
      </c>
      <c r="AE67" s="23" t="s">
        <v>49</v>
      </c>
      <c r="AF67" s="22" t="s">
        <v>73</v>
      </c>
      <c r="AG67" s="31">
        <v>6</v>
      </c>
      <c r="AH67" s="31">
        <v>0</v>
      </c>
      <c r="AI67" s="27">
        <v>45118</v>
      </c>
      <c r="AJ67" s="28">
        <f t="shared" ca="1" si="13"/>
        <v>4.8194444444444446</v>
      </c>
      <c r="AK67" s="27">
        <f t="shared" si="14"/>
        <v>46918</v>
      </c>
      <c r="AL67" s="24" t="s">
        <v>369</v>
      </c>
      <c r="AM67" s="31"/>
      <c r="AN67" s="32"/>
    </row>
    <row r="68" spans="1:40" s="33" customFormat="1" ht="74.25" customHeight="1" x14ac:dyDescent="0.25">
      <c r="A68" s="22">
        <v>65</v>
      </c>
      <c r="B68" s="23" t="s">
        <v>327</v>
      </c>
      <c r="C68" s="24" t="s">
        <v>350</v>
      </c>
      <c r="D68" s="22" t="s">
        <v>370</v>
      </c>
      <c r="E68" s="25" t="s">
        <v>371</v>
      </c>
      <c r="F68" s="25"/>
      <c r="G68" s="23" t="s">
        <v>146</v>
      </c>
      <c r="H68" s="24" t="s">
        <v>71</v>
      </c>
      <c r="I68" s="24" t="s">
        <v>71</v>
      </c>
      <c r="J68" s="26">
        <v>43447</v>
      </c>
      <c r="K68" s="27">
        <v>44908</v>
      </c>
      <c r="L68" s="24">
        <f>12*30</f>
        <v>360</v>
      </c>
      <c r="M68" s="24">
        <f t="shared" ref="M68:M99" ca="1" si="17">IF(O68="","",O68-TODAY())</f>
        <v>89</v>
      </c>
      <c r="N68" s="22" t="str">
        <f t="shared" ref="N68:N99" ca="1" si="18">IF(M68&lt;=0,"EXPIRADO",IF(M68&gt;=60,"VIGENTE","ADITAR"))</f>
        <v>VIGENTE</v>
      </c>
      <c r="O68" s="27">
        <v>45272</v>
      </c>
      <c r="P68" s="27">
        <v>44908</v>
      </c>
      <c r="Q68" s="24">
        <f t="shared" si="16"/>
        <v>360</v>
      </c>
      <c r="R68" s="24">
        <f t="shared" ref="R68:R99" ca="1" si="19">IF(T68="","",T68-TODAY())</f>
        <v>89</v>
      </c>
      <c r="S68" s="22" t="str">
        <f t="shared" ref="S68:S99" ca="1" si="20">IF(R68&lt;=0,"EXPIRADO",IF(R68&gt;=60,"VIGENTE","ADITAR"))</f>
        <v>VIGENTE</v>
      </c>
      <c r="T68" s="27">
        <v>45272</v>
      </c>
      <c r="U68" s="27"/>
      <c r="V68" s="27"/>
      <c r="W68" s="22">
        <f t="shared" si="15"/>
        <v>0</v>
      </c>
      <c r="X68" s="23" t="s">
        <v>372</v>
      </c>
      <c r="Y68" s="29">
        <v>2227650.84</v>
      </c>
      <c r="Z68" s="29">
        <v>0</v>
      </c>
      <c r="AA68" s="30">
        <f>Z68/Y68</f>
        <v>0</v>
      </c>
      <c r="AB68" s="23" t="s">
        <v>353</v>
      </c>
      <c r="AC68" s="23" t="s">
        <v>170</v>
      </c>
      <c r="AD68" s="23" t="s">
        <v>49</v>
      </c>
      <c r="AE68" s="23" t="s">
        <v>49</v>
      </c>
      <c r="AF68" s="22" t="s">
        <v>73</v>
      </c>
      <c r="AG68" s="31">
        <v>7</v>
      </c>
      <c r="AH68" s="31">
        <v>1</v>
      </c>
      <c r="AI68" s="27">
        <v>44999</v>
      </c>
      <c r="AJ68" s="28">
        <f t="shared" ref="AJ68:AJ99" ca="1" si="21">(IF(AK68="","",AK68-TODAY()))/360</f>
        <v>4.4888888888888889</v>
      </c>
      <c r="AK68" s="27">
        <f t="shared" ref="AK68:AK92" si="22">AI68+1800</f>
        <v>46799</v>
      </c>
      <c r="AL68" s="24"/>
      <c r="AM68" s="31" t="s">
        <v>357</v>
      </c>
      <c r="AN68" s="32" t="s">
        <v>373</v>
      </c>
    </row>
    <row r="69" spans="1:40" s="33" customFormat="1" ht="74.25" customHeight="1" x14ac:dyDescent="0.25">
      <c r="A69" s="22">
        <v>66</v>
      </c>
      <c r="B69" s="23" t="s">
        <v>327</v>
      </c>
      <c r="C69" s="24" t="s">
        <v>350</v>
      </c>
      <c r="D69" s="22" t="s">
        <v>374</v>
      </c>
      <c r="E69" s="25" t="s">
        <v>375</v>
      </c>
      <c r="F69" s="25"/>
      <c r="G69" s="23" t="s">
        <v>146</v>
      </c>
      <c r="H69" s="24" t="s">
        <v>71</v>
      </c>
      <c r="I69" s="24" t="s">
        <v>71</v>
      </c>
      <c r="J69" s="26">
        <v>43626</v>
      </c>
      <c r="K69" s="27">
        <v>45087</v>
      </c>
      <c r="L69" s="24">
        <f>12*30</f>
        <v>360</v>
      </c>
      <c r="M69" s="24">
        <f t="shared" ca="1" si="17"/>
        <v>269</v>
      </c>
      <c r="N69" s="22" t="str">
        <f t="shared" ca="1" si="18"/>
        <v>VIGENTE</v>
      </c>
      <c r="O69" s="27">
        <v>45452</v>
      </c>
      <c r="P69" s="27">
        <v>45087</v>
      </c>
      <c r="Q69" s="24">
        <f t="shared" si="16"/>
        <v>360</v>
      </c>
      <c r="R69" s="24">
        <f t="shared" ca="1" si="19"/>
        <v>269</v>
      </c>
      <c r="S69" s="22" t="str">
        <f t="shared" ca="1" si="20"/>
        <v>VIGENTE</v>
      </c>
      <c r="T69" s="27">
        <v>45452</v>
      </c>
      <c r="U69" s="27"/>
      <c r="V69" s="27"/>
      <c r="W69" s="22">
        <f t="shared" si="15"/>
        <v>0</v>
      </c>
      <c r="X69" s="23" t="s">
        <v>376</v>
      </c>
      <c r="Y69" s="29">
        <v>2978100</v>
      </c>
      <c r="Z69" s="29">
        <v>0</v>
      </c>
      <c r="AA69" s="30">
        <f>Z69/Y69</f>
        <v>0</v>
      </c>
      <c r="AB69" s="23" t="s">
        <v>353</v>
      </c>
      <c r="AC69" s="23" t="s">
        <v>170</v>
      </c>
      <c r="AD69" s="23" t="s">
        <v>49</v>
      </c>
      <c r="AE69" s="23" t="s">
        <v>49</v>
      </c>
      <c r="AF69" s="22" t="s">
        <v>73</v>
      </c>
      <c r="AG69" s="31">
        <v>6</v>
      </c>
      <c r="AH69" s="31"/>
      <c r="AI69" s="27">
        <f>J69</f>
        <v>43626</v>
      </c>
      <c r="AJ69" s="28">
        <f t="shared" ca="1" si="21"/>
        <v>0.67500000000000004</v>
      </c>
      <c r="AK69" s="27">
        <f t="shared" si="22"/>
        <v>45426</v>
      </c>
      <c r="AL69" s="24" t="s">
        <v>377</v>
      </c>
      <c r="AM69" s="31" t="s">
        <v>357</v>
      </c>
      <c r="AN69" s="32" t="s">
        <v>378</v>
      </c>
    </row>
    <row r="70" spans="1:40" s="33" customFormat="1" ht="74.25" customHeight="1" x14ac:dyDescent="0.25">
      <c r="A70" s="22">
        <v>67</v>
      </c>
      <c r="B70" s="23" t="s">
        <v>327</v>
      </c>
      <c r="C70" s="24" t="s">
        <v>350</v>
      </c>
      <c r="D70" s="22" t="s">
        <v>379</v>
      </c>
      <c r="E70" s="25" t="s">
        <v>380</v>
      </c>
      <c r="F70" s="25"/>
      <c r="G70" s="23" t="s">
        <v>146</v>
      </c>
      <c r="H70" s="24" t="s">
        <v>71</v>
      </c>
      <c r="I70" s="24" t="s">
        <v>71</v>
      </c>
      <c r="J70" s="26">
        <v>43647</v>
      </c>
      <c r="K70" s="27">
        <v>45108</v>
      </c>
      <c r="L70" s="24">
        <f>12*30</f>
        <v>360</v>
      </c>
      <c r="M70" s="24">
        <f t="shared" ca="1" si="17"/>
        <v>290</v>
      </c>
      <c r="N70" s="22" t="str">
        <f t="shared" ca="1" si="18"/>
        <v>VIGENTE</v>
      </c>
      <c r="O70" s="27">
        <v>45473</v>
      </c>
      <c r="P70" s="27">
        <v>45108</v>
      </c>
      <c r="Q70" s="24">
        <f t="shared" si="16"/>
        <v>360</v>
      </c>
      <c r="R70" s="24">
        <f t="shared" ca="1" si="19"/>
        <v>290</v>
      </c>
      <c r="S70" s="22" t="str">
        <f t="shared" ca="1" si="20"/>
        <v>VIGENTE</v>
      </c>
      <c r="T70" s="27">
        <v>45473</v>
      </c>
      <c r="U70" s="27"/>
      <c r="V70" s="27"/>
      <c r="W70" s="22">
        <f t="shared" si="15"/>
        <v>0</v>
      </c>
      <c r="X70" s="23">
        <v>5752</v>
      </c>
      <c r="Y70" s="29">
        <v>9250311.9199999999</v>
      </c>
      <c r="Z70" s="29">
        <v>0</v>
      </c>
      <c r="AA70" s="30">
        <f>Z70/Y70</f>
        <v>0</v>
      </c>
      <c r="AB70" s="23" t="s">
        <v>353</v>
      </c>
      <c r="AC70" s="23" t="s">
        <v>170</v>
      </c>
      <c r="AD70" s="23" t="s">
        <v>49</v>
      </c>
      <c r="AE70" s="23" t="s">
        <v>49</v>
      </c>
      <c r="AF70" s="22" t="s">
        <v>73</v>
      </c>
      <c r="AG70" s="31">
        <v>7</v>
      </c>
      <c r="AH70" s="31">
        <v>1</v>
      </c>
      <c r="AI70" s="27">
        <v>45049</v>
      </c>
      <c r="AJ70" s="28">
        <f t="shared" ca="1" si="21"/>
        <v>4.6277777777777782</v>
      </c>
      <c r="AK70" s="27">
        <f t="shared" si="22"/>
        <v>46849</v>
      </c>
      <c r="AL70" s="24" t="s">
        <v>381</v>
      </c>
      <c r="AM70" s="31" t="s">
        <v>357</v>
      </c>
      <c r="AN70" s="32" t="s">
        <v>382</v>
      </c>
    </row>
    <row r="71" spans="1:40" s="33" customFormat="1" ht="74.25" customHeight="1" x14ac:dyDescent="0.2">
      <c r="A71" s="22">
        <v>68</v>
      </c>
      <c r="B71" s="23" t="s">
        <v>327</v>
      </c>
      <c r="C71" s="24" t="s">
        <v>383</v>
      </c>
      <c r="D71" s="22" t="s">
        <v>384</v>
      </c>
      <c r="E71" s="25" t="s">
        <v>385</v>
      </c>
      <c r="F71" s="25"/>
      <c r="G71" s="23" t="s">
        <v>49</v>
      </c>
      <c r="H71" s="24" t="s">
        <v>71</v>
      </c>
      <c r="I71" s="24" t="s">
        <v>71</v>
      </c>
      <c r="J71" s="26">
        <v>43171</v>
      </c>
      <c r="K71" s="27">
        <v>44915</v>
      </c>
      <c r="L71" s="24">
        <f>12*30</f>
        <v>360</v>
      </c>
      <c r="M71" s="24">
        <f t="shared" ca="1" si="17"/>
        <v>97</v>
      </c>
      <c r="N71" s="22" t="str">
        <f t="shared" ca="1" si="18"/>
        <v>VIGENTE</v>
      </c>
      <c r="O71" s="27">
        <v>45280</v>
      </c>
      <c r="P71" s="27">
        <v>44915</v>
      </c>
      <c r="Q71" s="24">
        <f t="shared" si="16"/>
        <v>360</v>
      </c>
      <c r="R71" s="24">
        <f t="shared" ca="1" si="19"/>
        <v>97</v>
      </c>
      <c r="S71" s="22" t="str">
        <f t="shared" ca="1" si="20"/>
        <v>VIGENTE</v>
      </c>
      <c r="T71" s="27">
        <v>45280</v>
      </c>
      <c r="U71" s="27"/>
      <c r="V71" s="27"/>
      <c r="W71" s="22">
        <f t="shared" si="15"/>
        <v>0</v>
      </c>
      <c r="X71" s="24">
        <v>5752</v>
      </c>
      <c r="Y71" s="29">
        <v>16200</v>
      </c>
      <c r="Z71" s="29">
        <v>0</v>
      </c>
      <c r="AA71" s="30">
        <f>Z71/Y71</f>
        <v>0</v>
      </c>
      <c r="AB71" s="23" t="s">
        <v>338</v>
      </c>
      <c r="AC71" s="23" t="s">
        <v>49</v>
      </c>
      <c r="AD71" s="23" t="s">
        <v>49</v>
      </c>
      <c r="AE71" s="23" t="s">
        <v>49</v>
      </c>
      <c r="AF71" s="22" t="s">
        <v>73</v>
      </c>
      <c r="AG71" s="31">
        <v>8</v>
      </c>
      <c r="AH71" s="31">
        <v>0</v>
      </c>
      <c r="AI71" s="27">
        <f t="shared" ref="AI71:AI76" si="23">J71</f>
        <v>43171</v>
      </c>
      <c r="AJ71" s="28">
        <f t="shared" ca="1" si="21"/>
        <v>-0.58888888888888891</v>
      </c>
      <c r="AK71" s="27">
        <f t="shared" si="22"/>
        <v>44971</v>
      </c>
      <c r="AL71" s="24" t="s">
        <v>386</v>
      </c>
      <c r="AM71" s="31" t="s">
        <v>357</v>
      </c>
      <c r="AN71" s="48" t="s">
        <v>387</v>
      </c>
    </row>
    <row r="72" spans="1:40" s="33" customFormat="1" ht="74.25" customHeight="1" x14ac:dyDescent="0.25">
      <c r="A72" s="22">
        <v>69</v>
      </c>
      <c r="B72" s="23" t="s">
        <v>327</v>
      </c>
      <c r="C72" s="24" t="s">
        <v>388</v>
      </c>
      <c r="D72" s="22" t="s">
        <v>389</v>
      </c>
      <c r="E72" s="25" t="s">
        <v>390</v>
      </c>
      <c r="F72" s="25"/>
      <c r="G72" s="23" t="s">
        <v>49</v>
      </c>
      <c r="H72" s="24" t="s">
        <v>71</v>
      </c>
      <c r="I72" s="24" t="s">
        <v>71</v>
      </c>
      <c r="J72" s="26">
        <v>44424</v>
      </c>
      <c r="K72" s="27">
        <v>44572</v>
      </c>
      <c r="L72" s="24">
        <f>12*30</f>
        <v>360</v>
      </c>
      <c r="M72" s="24">
        <f t="shared" ca="1" si="17"/>
        <v>117</v>
      </c>
      <c r="N72" s="22" t="str">
        <f t="shared" ca="1" si="18"/>
        <v>VIGENTE</v>
      </c>
      <c r="O72" s="27">
        <v>45300</v>
      </c>
      <c r="P72" s="27">
        <v>44424</v>
      </c>
      <c r="Q72" s="24">
        <f t="shared" si="16"/>
        <v>360</v>
      </c>
      <c r="R72" s="24">
        <f t="shared" ca="1" si="19"/>
        <v>117</v>
      </c>
      <c r="S72" s="22" t="str">
        <f t="shared" ca="1" si="20"/>
        <v>VIGENTE</v>
      </c>
      <c r="T72" s="27">
        <v>45300</v>
      </c>
      <c r="U72" s="27"/>
      <c r="V72" s="27"/>
      <c r="W72" s="22">
        <f t="shared" si="15"/>
        <v>0</v>
      </c>
      <c r="X72" s="24">
        <v>31</v>
      </c>
      <c r="Y72" s="29">
        <v>0</v>
      </c>
      <c r="Z72" s="29">
        <v>0</v>
      </c>
      <c r="AA72" s="30">
        <v>0</v>
      </c>
      <c r="AB72" s="23" t="s">
        <v>391</v>
      </c>
      <c r="AC72" s="23" t="s">
        <v>49</v>
      </c>
      <c r="AD72" s="23" t="s">
        <v>49</v>
      </c>
      <c r="AE72" s="23" t="s">
        <v>49</v>
      </c>
      <c r="AF72" s="22" t="s">
        <v>73</v>
      </c>
      <c r="AG72" s="31">
        <v>0</v>
      </c>
      <c r="AH72" s="31">
        <v>0</v>
      </c>
      <c r="AI72" s="27">
        <f t="shared" si="23"/>
        <v>44424</v>
      </c>
      <c r="AJ72" s="28">
        <f t="shared" ca="1" si="21"/>
        <v>2.8916666666666666</v>
      </c>
      <c r="AK72" s="27">
        <f t="shared" si="22"/>
        <v>46224</v>
      </c>
      <c r="AL72" s="24"/>
      <c r="AM72" s="31"/>
      <c r="AN72" s="32"/>
    </row>
    <row r="73" spans="1:40" s="33" customFormat="1" ht="74.25" customHeight="1" x14ac:dyDescent="0.25">
      <c r="A73" s="22">
        <v>70</v>
      </c>
      <c r="B73" s="23" t="s">
        <v>327</v>
      </c>
      <c r="C73" s="24" t="s">
        <v>392</v>
      </c>
      <c r="D73" s="22" t="s">
        <v>393</v>
      </c>
      <c r="E73" s="25" t="s">
        <v>394</v>
      </c>
      <c r="F73" s="25"/>
      <c r="G73" s="23" t="s">
        <v>146</v>
      </c>
      <c r="H73" s="24" t="s">
        <v>50</v>
      </c>
      <c r="I73" s="24" t="s">
        <v>50</v>
      </c>
      <c r="J73" s="26">
        <v>44922</v>
      </c>
      <c r="K73" s="27">
        <v>44922</v>
      </c>
      <c r="L73" s="24">
        <f>6*30</f>
        <v>180</v>
      </c>
      <c r="M73" s="24">
        <f t="shared" ca="1" si="17"/>
        <v>-81</v>
      </c>
      <c r="N73" s="22" t="str">
        <f t="shared" ca="1" si="18"/>
        <v>EXPIRADO</v>
      </c>
      <c r="O73" s="27">
        <f>K73+180</f>
        <v>45102</v>
      </c>
      <c r="P73" s="27">
        <f>K73+15</f>
        <v>44937</v>
      </c>
      <c r="Q73" s="24">
        <f>7*30</f>
        <v>210</v>
      </c>
      <c r="R73" s="24">
        <f t="shared" ca="1" si="19"/>
        <v>-66</v>
      </c>
      <c r="S73" s="22" t="str">
        <f t="shared" ca="1" si="20"/>
        <v>EXPIRADO</v>
      </c>
      <c r="T73" s="27">
        <f>P73+180</f>
        <v>45117</v>
      </c>
      <c r="U73" s="27"/>
      <c r="V73" s="27"/>
      <c r="W73" s="22">
        <f t="shared" si="15"/>
        <v>0</v>
      </c>
      <c r="X73" s="23" t="s">
        <v>395</v>
      </c>
      <c r="Y73" s="29">
        <f>1718194.67</f>
        <v>1718194.67</v>
      </c>
      <c r="Z73" s="29">
        <v>0</v>
      </c>
      <c r="AA73" s="30">
        <f>(Z73/Y73)</f>
        <v>0</v>
      </c>
      <c r="AB73" s="23" t="s">
        <v>332</v>
      </c>
      <c r="AC73" s="23" t="s">
        <v>396</v>
      </c>
      <c r="AD73" s="23" t="s">
        <v>49</v>
      </c>
      <c r="AE73" s="23" t="s">
        <v>49</v>
      </c>
      <c r="AF73" s="22" t="s">
        <v>73</v>
      </c>
      <c r="AG73" s="31">
        <v>1</v>
      </c>
      <c r="AH73" s="31">
        <v>0</v>
      </c>
      <c r="AI73" s="27">
        <f t="shared" si="23"/>
        <v>44922</v>
      </c>
      <c r="AJ73" s="28">
        <f t="shared" ca="1" si="21"/>
        <v>4.2750000000000004</v>
      </c>
      <c r="AK73" s="27">
        <f t="shared" si="22"/>
        <v>46722</v>
      </c>
      <c r="AL73" s="24"/>
      <c r="AM73" s="31" t="s">
        <v>357</v>
      </c>
      <c r="AN73" s="32" t="s">
        <v>397</v>
      </c>
    </row>
    <row r="74" spans="1:40" s="33" customFormat="1" ht="74.25" customHeight="1" x14ac:dyDescent="0.25">
      <c r="A74" s="22">
        <v>71</v>
      </c>
      <c r="B74" s="23" t="s">
        <v>327</v>
      </c>
      <c r="C74" s="24" t="s">
        <v>398</v>
      </c>
      <c r="D74" s="22" t="s">
        <v>399</v>
      </c>
      <c r="E74" s="25" t="s">
        <v>400</v>
      </c>
      <c r="F74" s="25"/>
      <c r="G74" s="23" t="s">
        <v>146</v>
      </c>
      <c r="H74" s="24" t="s">
        <v>71</v>
      </c>
      <c r="I74" s="24" t="s">
        <v>71</v>
      </c>
      <c r="J74" s="26">
        <v>44797</v>
      </c>
      <c r="K74" s="27">
        <v>44797</v>
      </c>
      <c r="L74" s="24">
        <f>12*30</f>
        <v>360</v>
      </c>
      <c r="M74" s="24">
        <f t="shared" ca="1" si="17"/>
        <v>-22</v>
      </c>
      <c r="N74" s="22" t="str">
        <f t="shared" ca="1" si="18"/>
        <v>EXPIRADO</v>
      </c>
      <c r="O74" s="27">
        <v>45161</v>
      </c>
      <c r="P74" s="27">
        <f>K74+5</f>
        <v>44802</v>
      </c>
      <c r="Q74" s="24">
        <f>12*30</f>
        <v>360</v>
      </c>
      <c r="R74" s="24">
        <f t="shared" ca="1" si="19"/>
        <v>-17</v>
      </c>
      <c r="S74" s="22" t="str">
        <f t="shared" ca="1" si="20"/>
        <v>EXPIRADO</v>
      </c>
      <c r="T74" s="27">
        <v>45166</v>
      </c>
      <c r="U74" s="27"/>
      <c r="V74" s="27"/>
      <c r="W74" s="22">
        <f t="shared" si="15"/>
        <v>0</v>
      </c>
      <c r="X74" s="24">
        <v>0.31</v>
      </c>
      <c r="Y74" s="29">
        <v>138863.04000000001</v>
      </c>
      <c r="Z74" s="29">
        <v>0</v>
      </c>
      <c r="AA74" s="30">
        <v>0</v>
      </c>
      <c r="AB74" s="23" t="s">
        <v>338</v>
      </c>
      <c r="AC74" s="23" t="s">
        <v>49</v>
      </c>
      <c r="AD74" s="23" t="s">
        <v>49</v>
      </c>
      <c r="AE74" s="23" t="s">
        <v>49</v>
      </c>
      <c r="AF74" s="22" t="s">
        <v>54</v>
      </c>
      <c r="AG74" s="31">
        <v>1</v>
      </c>
      <c r="AH74" s="31">
        <v>0</v>
      </c>
      <c r="AI74" s="27">
        <f t="shared" si="23"/>
        <v>44797</v>
      </c>
      <c r="AJ74" s="28">
        <f t="shared" ca="1" si="21"/>
        <v>3.9277777777777776</v>
      </c>
      <c r="AK74" s="27">
        <f t="shared" si="22"/>
        <v>46597</v>
      </c>
      <c r="AL74" s="24"/>
      <c r="AM74" s="31"/>
      <c r="AN74" s="32" t="s">
        <v>401</v>
      </c>
    </row>
    <row r="75" spans="1:40" s="33" customFormat="1" ht="74.25" customHeight="1" x14ac:dyDescent="0.25">
      <c r="A75" s="22">
        <v>72</v>
      </c>
      <c r="B75" s="23" t="s">
        <v>327</v>
      </c>
      <c r="C75" s="24" t="s">
        <v>402</v>
      </c>
      <c r="D75" s="22" t="s">
        <v>403</v>
      </c>
      <c r="E75" s="25" t="s">
        <v>404</v>
      </c>
      <c r="F75" s="25"/>
      <c r="G75" s="23" t="s">
        <v>49</v>
      </c>
      <c r="H75" s="24" t="s">
        <v>71</v>
      </c>
      <c r="I75" s="24" t="s">
        <v>71</v>
      </c>
      <c r="J75" s="26">
        <v>36880</v>
      </c>
      <c r="K75" s="27">
        <v>36880</v>
      </c>
      <c r="L75" s="27"/>
      <c r="M75" s="24">
        <f t="shared" ca="1" si="17"/>
        <v>-1103</v>
      </c>
      <c r="N75" s="22" t="str">
        <f t="shared" ca="1" si="18"/>
        <v>EXPIRADO</v>
      </c>
      <c r="O75" s="27">
        <f>K75+(20*360)</f>
        <v>44080</v>
      </c>
      <c r="P75" s="27">
        <v>36880</v>
      </c>
      <c r="Q75" s="27"/>
      <c r="R75" s="24">
        <f t="shared" ca="1" si="19"/>
        <v>-1103</v>
      </c>
      <c r="S75" s="22" t="str">
        <f t="shared" ca="1" si="20"/>
        <v>EXPIRADO</v>
      </c>
      <c r="T75" s="27">
        <f>P75+(20*360)</f>
        <v>44080</v>
      </c>
      <c r="U75" s="27"/>
      <c r="V75" s="27"/>
      <c r="W75" s="22">
        <f t="shared" si="15"/>
        <v>0</v>
      </c>
      <c r="X75" s="24" t="s">
        <v>49</v>
      </c>
      <c r="Y75" s="29">
        <v>0</v>
      </c>
      <c r="Z75" s="29">
        <v>0</v>
      </c>
      <c r="AA75" s="30">
        <v>0</v>
      </c>
      <c r="AB75" s="23" t="s">
        <v>236</v>
      </c>
      <c r="AC75" s="23" t="s">
        <v>49</v>
      </c>
      <c r="AD75" s="23" t="s">
        <v>49</v>
      </c>
      <c r="AE75" s="23" t="s">
        <v>49</v>
      </c>
      <c r="AF75" s="22" t="s">
        <v>73</v>
      </c>
      <c r="AG75" s="31">
        <v>0</v>
      </c>
      <c r="AH75" s="31">
        <v>0</v>
      </c>
      <c r="AI75" s="27">
        <f t="shared" si="23"/>
        <v>36880</v>
      </c>
      <c r="AJ75" s="28">
        <f t="shared" ca="1" si="21"/>
        <v>-18.06388888888889</v>
      </c>
      <c r="AK75" s="27">
        <f t="shared" si="22"/>
        <v>38680</v>
      </c>
      <c r="AL75" s="24"/>
      <c r="AM75" s="31" t="s">
        <v>357</v>
      </c>
      <c r="AN75" s="32" t="s">
        <v>405</v>
      </c>
    </row>
    <row r="76" spans="1:40" s="33" customFormat="1" ht="74.25" customHeight="1" x14ac:dyDescent="0.25">
      <c r="A76" s="22">
        <v>73</v>
      </c>
      <c r="B76" s="23" t="s">
        <v>327</v>
      </c>
      <c r="C76" s="24" t="s">
        <v>350</v>
      </c>
      <c r="D76" s="22" t="s">
        <v>406</v>
      </c>
      <c r="E76" s="25" t="s">
        <v>407</v>
      </c>
      <c r="F76" s="25"/>
      <c r="G76" s="23" t="s">
        <v>146</v>
      </c>
      <c r="H76" s="24" t="s">
        <v>408</v>
      </c>
      <c r="I76" s="24" t="s">
        <v>408</v>
      </c>
      <c r="J76" s="26">
        <v>44951</v>
      </c>
      <c r="K76" s="27">
        <v>44951</v>
      </c>
      <c r="L76" s="24">
        <f>12*30</f>
        <v>360</v>
      </c>
      <c r="M76" s="24">
        <f t="shared" ca="1" si="17"/>
        <v>132</v>
      </c>
      <c r="N76" s="22" t="str">
        <f t="shared" ca="1" si="18"/>
        <v>VIGENTE</v>
      </c>
      <c r="O76" s="27">
        <v>45315</v>
      </c>
      <c r="P76" s="27">
        <v>44971</v>
      </c>
      <c r="Q76" s="24">
        <f>12*30</f>
        <v>360</v>
      </c>
      <c r="R76" s="24">
        <f t="shared" ca="1" si="19"/>
        <v>128</v>
      </c>
      <c r="S76" s="22" t="str">
        <f t="shared" ca="1" si="20"/>
        <v>VIGENTE</v>
      </c>
      <c r="T76" s="27">
        <v>45311</v>
      </c>
      <c r="U76" s="27"/>
      <c r="V76" s="27"/>
      <c r="W76" s="22">
        <f t="shared" si="15"/>
        <v>0</v>
      </c>
      <c r="X76" s="23" t="s">
        <v>409</v>
      </c>
      <c r="Y76" s="29">
        <v>719000</v>
      </c>
      <c r="Z76" s="29">
        <f>[52]CADASTRO!$C$25</f>
        <v>391420.75</v>
      </c>
      <c r="AA76" s="30">
        <f>[52]CADASTRO!$C$26</f>
        <v>0.45560396383866503</v>
      </c>
      <c r="AB76" s="23" t="s">
        <v>353</v>
      </c>
      <c r="AC76" s="23" t="s">
        <v>170</v>
      </c>
      <c r="AD76" s="23" t="s">
        <v>49</v>
      </c>
      <c r="AE76" s="23" t="s">
        <v>49</v>
      </c>
      <c r="AF76" s="22" t="s">
        <v>73</v>
      </c>
      <c r="AG76" s="31">
        <v>1</v>
      </c>
      <c r="AH76" s="31">
        <v>0</v>
      </c>
      <c r="AI76" s="27">
        <f t="shared" si="23"/>
        <v>44951</v>
      </c>
      <c r="AJ76" s="28">
        <f t="shared" ca="1" si="21"/>
        <v>4.3555555555555552</v>
      </c>
      <c r="AK76" s="27">
        <f t="shared" si="22"/>
        <v>46751</v>
      </c>
      <c r="AL76" s="24" t="s">
        <v>410</v>
      </c>
      <c r="AM76" s="31"/>
      <c r="AN76" s="32"/>
    </row>
    <row r="77" spans="1:40" s="33" customFormat="1" ht="74.25" customHeight="1" x14ac:dyDescent="0.25">
      <c r="A77" s="22">
        <v>74</v>
      </c>
      <c r="B77" s="23" t="s">
        <v>327</v>
      </c>
      <c r="C77" s="24" t="s">
        <v>411</v>
      </c>
      <c r="D77" s="22" t="s">
        <v>412</v>
      </c>
      <c r="E77" s="25" t="s">
        <v>413</v>
      </c>
      <c r="F77" s="25"/>
      <c r="G77" s="23" t="s">
        <v>49</v>
      </c>
      <c r="H77" s="24" t="s">
        <v>408</v>
      </c>
      <c r="I77" s="24" t="s">
        <v>408</v>
      </c>
      <c r="J77" s="26">
        <v>44970</v>
      </c>
      <c r="K77" s="27">
        <v>45060</v>
      </c>
      <c r="L77" s="24">
        <v>16</v>
      </c>
      <c r="M77" s="24">
        <f t="shared" ca="1" si="17"/>
        <v>-108</v>
      </c>
      <c r="N77" s="22" t="str">
        <f t="shared" ca="1" si="18"/>
        <v>EXPIRADO</v>
      </c>
      <c r="O77" s="27">
        <v>45075</v>
      </c>
      <c r="P77" s="27">
        <v>44972</v>
      </c>
      <c r="Q77" s="24">
        <f>3*30</f>
        <v>90</v>
      </c>
      <c r="R77" s="24">
        <f t="shared" ca="1" si="19"/>
        <v>-125</v>
      </c>
      <c r="S77" s="22" t="str">
        <f t="shared" ca="1" si="20"/>
        <v>EXPIRADO</v>
      </c>
      <c r="T77" s="27">
        <v>45058</v>
      </c>
      <c r="U77" s="27"/>
      <c r="V77" s="27"/>
      <c r="W77" s="22">
        <f t="shared" si="15"/>
        <v>0</v>
      </c>
      <c r="X77" s="24" t="s">
        <v>409</v>
      </c>
      <c r="Y77" s="29">
        <v>1151820</v>
      </c>
      <c r="Z77" s="29">
        <f>[53]CADASTRO!$C$31</f>
        <v>236820.01</v>
      </c>
      <c r="AA77" s="30">
        <f>[53]CADASTRO!$C$32</f>
        <v>0.79439494886353801</v>
      </c>
      <c r="AB77" s="23" t="s">
        <v>235</v>
      </c>
      <c r="AC77" s="23" t="s">
        <v>187</v>
      </c>
      <c r="AD77" s="23" t="s">
        <v>49</v>
      </c>
      <c r="AE77" s="23" t="s">
        <v>49</v>
      </c>
      <c r="AF77" s="22" t="s">
        <v>73</v>
      </c>
      <c r="AG77" s="31">
        <v>1</v>
      </c>
      <c r="AH77" s="31">
        <v>1</v>
      </c>
      <c r="AI77" s="27">
        <v>45058</v>
      </c>
      <c r="AJ77" s="28">
        <f t="shared" ca="1" si="21"/>
        <v>4.6527777777777777</v>
      </c>
      <c r="AK77" s="27">
        <f t="shared" si="22"/>
        <v>46858</v>
      </c>
      <c r="AL77" s="24" t="s">
        <v>414</v>
      </c>
      <c r="AM77" s="31" t="s">
        <v>103</v>
      </c>
      <c r="AN77" s="32" t="s">
        <v>415</v>
      </c>
    </row>
    <row r="78" spans="1:40" s="33" customFormat="1" ht="74.25" customHeight="1" x14ac:dyDescent="0.25">
      <c r="A78" s="22">
        <v>75</v>
      </c>
      <c r="B78" s="23" t="s">
        <v>45</v>
      </c>
      <c r="C78" s="24" t="s">
        <v>416</v>
      </c>
      <c r="D78" s="22" t="s">
        <v>417</v>
      </c>
      <c r="E78" s="25" t="s">
        <v>418</v>
      </c>
      <c r="F78" s="25"/>
      <c r="G78" s="23" t="s">
        <v>49</v>
      </c>
      <c r="H78" s="24" t="s">
        <v>78</v>
      </c>
      <c r="I78" s="24" t="s">
        <v>419</v>
      </c>
      <c r="J78" s="26">
        <v>45012</v>
      </c>
      <c r="K78" s="27">
        <v>45012</v>
      </c>
      <c r="L78" s="24">
        <f>11*30</f>
        <v>330</v>
      </c>
      <c r="M78" s="24">
        <f t="shared" ca="1" si="17"/>
        <v>159</v>
      </c>
      <c r="N78" s="22" t="str">
        <f t="shared" ca="1" si="18"/>
        <v>VIGENTE</v>
      </c>
      <c r="O78" s="27">
        <f>K78+330</f>
        <v>45342</v>
      </c>
      <c r="P78" s="27">
        <v>45110</v>
      </c>
      <c r="Q78" s="24">
        <f>8*30</f>
        <v>240</v>
      </c>
      <c r="R78" s="24">
        <f t="shared" ca="1" si="19"/>
        <v>166</v>
      </c>
      <c r="S78" s="22" t="str">
        <f t="shared" ca="1" si="20"/>
        <v>VIGENTE</v>
      </c>
      <c r="T78" s="27">
        <v>45349</v>
      </c>
      <c r="U78" s="27">
        <v>45026</v>
      </c>
      <c r="V78" s="27"/>
      <c r="W78" s="22">
        <f t="shared" si="15"/>
        <v>-45026</v>
      </c>
      <c r="X78" s="24">
        <v>6405</v>
      </c>
      <c r="Y78" s="29">
        <v>1179800.05</v>
      </c>
      <c r="Z78" s="29">
        <v>0</v>
      </c>
      <c r="AA78" s="30">
        <v>0</v>
      </c>
      <c r="AB78" s="23" t="s">
        <v>420</v>
      </c>
      <c r="AC78" s="23" t="s">
        <v>119</v>
      </c>
      <c r="AD78" s="23" t="s">
        <v>49</v>
      </c>
      <c r="AE78" s="23" t="s">
        <v>49</v>
      </c>
      <c r="AF78" s="22" t="s">
        <v>54</v>
      </c>
      <c r="AG78" s="31">
        <v>0</v>
      </c>
      <c r="AH78" s="31">
        <v>0</v>
      </c>
      <c r="AI78" s="27">
        <f t="shared" ref="AI78:AI85" si="24">J78</f>
        <v>45012</v>
      </c>
      <c r="AJ78" s="28">
        <f t="shared" ca="1" si="21"/>
        <v>4.5250000000000004</v>
      </c>
      <c r="AK78" s="27">
        <f t="shared" si="22"/>
        <v>46812</v>
      </c>
      <c r="AL78" s="24" t="s">
        <v>421</v>
      </c>
      <c r="AM78" s="31" t="s">
        <v>56</v>
      </c>
      <c r="AN78" s="32" t="s">
        <v>422</v>
      </c>
    </row>
    <row r="79" spans="1:40" s="33" customFormat="1" ht="74.25" customHeight="1" x14ac:dyDescent="0.25">
      <c r="A79" s="22">
        <v>76</v>
      </c>
      <c r="B79" s="23" t="s">
        <v>45</v>
      </c>
      <c r="C79" s="24" t="s">
        <v>416</v>
      </c>
      <c r="D79" s="22" t="s">
        <v>423</v>
      </c>
      <c r="E79" s="25" t="s">
        <v>424</v>
      </c>
      <c r="F79" s="25"/>
      <c r="G79" s="23" t="s">
        <v>49</v>
      </c>
      <c r="H79" s="24" t="s">
        <v>78</v>
      </c>
      <c r="I79" s="24" t="s">
        <v>419</v>
      </c>
      <c r="J79" s="26">
        <v>45012</v>
      </c>
      <c r="K79" s="27">
        <v>45013</v>
      </c>
      <c r="L79" s="24">
        <f>9*30</f>
        <v>270</v>
      </c>
      <c r="M79" s="24">
        <f t="shared" ca="1" si="17"/>
        <v>100</v>
      </c>
      <c r="N79" s="22" t="str">
        <f t="shared" ca="1" si="18"/>
        <v>VIGENTE</v>
      </c>
      <c r="O79" s="27">
        <f>K79+270</f>
        <v>45283</v>
      </c>
      <c r="P79" s="27">
        <v>45015</v>
      </c>
      <c r="Q79" s="24">
        <f>6*30</f>
        <v>180</v>
      </c>
      <c r="R79" s="24">
        <f t="shared" ca="1" si="19"/>
        <v>12</v>
      </c>
      <c r="S79" s="22" t="str">
        <f t="shared" ca="1" si="20"/>
        <v>ADITAR</v>
      </c>
      <c r="T79" s="27">
        <f>P79+180</f>
        <v>45195</v>
      </c>
      <c r="U79" s="27">
        <v>45026</v>
      </c>
      <c r="V79" s="27"/>
      <c r="W79" s="22">
        <f t="shared" si="15"/>
        <v>-45026</v>
      </c>
      <c r="X79" s="24">
        <v>6405</v>
      </c>
      <c r="Y79" s="29">
        <v>698198.31</v>
      </c>
      <c r="Z79" s="29">
        <v>0</v>
      </c>
      <c r="AA79" s="30">
        <v>0</v>
      </c>
      <c r="AB79" s="23" t="s">
        <v>119</v>
      </c>
      <c r="AC79" s="23"/>
      <c r="AD79" s="23" t="s">
        <v>49</v>
      </c>
      <c r="AE79" s="23" t="s">
        <v>49</v>
      </c>
      <c r="AF79" s="22" t="s">
        <v>73</v>
      </c>
      <c r="AG79" s="31">
        <v>0</v>
      </c>
      <c r="AH79" s="31">
        <v>0</v>
      </c>
      <c r="AI79" s="27">
        <f t="shared" si="24"/>
        <v>45012</v>
      </c>
      <c r="AJ79" s="28">
        <f t="shared" ca="1" si="21"/>
        <v>4.5250000000000004</v>
      </c>
      <c r="AK79" s="27">
        <f t="shared" si="22"/>
        <v>46812</v>
      </c>
      <c r="AL79" s="24" t="s">
        <v>425</v>
      </c>
      <c r="AM79" s="31"/>
      <c r="AN79" s="32"/>
    </row>
    <row r="80" spans="1:40" s="33" customFormat="1" ht="74.25" customHeight="1" x14ac:dyDescent="0.25">
      <c r="A80" s="22">
        <v>77</v>
      </c>
      <c r="B80" s="23" t="s">
        <v>45</v>
      </c>
      <c r="C80" s="24" t="s">
        <v>416</v>
      </c>
      <c r="D80" s="22" t="s">
        <v>426</v>
      </c>
      <c r="E80" s="25" t="s">
        <v>427</v>
      </c>
      <c r="F80" s="25"/>
      <c r="G80" s="23" t="s">
        <v>49</v>
      </c>
      <c r="H80" s="24" t="s">
        <v>117</v>
      </c>
      <c r="I80" s="24" t="s">
        <v>428</v>
      </c>
      <c r="J80" s="26">
        <v>45012</v>
      </c>
      <c r="K80" s="27">
        <v>45013</v>
      </c>
      <c r="L80" s="24">
        <f>9*30</f>
        <v>270</v>
      </c>
      <c r="M80" s="24">
        <f t="shared" ca="1" si="17"/>
        <v>100</v>
      </c>
      <c r="N80" s="22" t="str">
        <f t="shared" ca="1" si="18"/>
        <v>VIGENTE</v>
      </c>
      <c r="O80" s="27">
        <f>K80+(9*30)</f>
        <v>45283</v>
      </c>
      <c r="P80" s="27">
        <v>45015</v>
      </c>
      <c r="Q80" s="24">
        <f>6*30</f>
        <v>180</v>
      </c>
      <c r="R80" s="24">
        <f t="shared" ca="1" si="19"/>
        <v>12</v>
      </c>
      <c r="S80" s="22" t="str">
        <f t="shared" ca="1" si="20"/>
        <v>ADITAR</v>
      </c>
      <c r="T80" s="27">
        <f>P80+(6*30)</f>
        <v>45195</v>
      </c>
      <c r="U80" s="27"/>
      <c r="V80" s="27"/>
      <c r="W80" s="22">
        <f t="shared" si="15"/>
        <v>0</v>
      </c>
      <c r="X80" s="24">
        <v>6420</v>
      </c>
      <c r="Y80" s="29">
        <v>175590.86</v>
      </c>
      <c r="Z80" s="29">
        <v>0</v>
      </c>
      <c r="AA80" s="30">
        <v>0</v>
      </c>
      <c r="AB80" s="23" t="s">
        <v>170</v>
      </c>
      <c r="AC80" s="23"/>
      <c r="AD80" s="23" t="s">
        <v>49</v>
      </c>
      <c r="AE80" s="23" t="s">
        <v>49</v>
      </c>
      <c r="AF80" s="22" t="s">
        <v>80</v>
      </c>
      <c r="AG80" s="31">
        <v>0</v>
      </c>
      <c r="AH80" s="31">
        <v>0</v>
      </c>
      <c r="AI80" s="27">
        <f t="shared" si="24"/>
        <v>45012</v>
      </c>
      <c r="AJ80" s="28">
        <f t="shared" ca="1" si="21"/>
        <v>4.5250000000000004</v>
      </c>
      <c r="AK80" s="27">
        <f t="shared" si="22"/>
        <v>46812</v>
      </c>
      <c r="AL80" s="24" t="s">
        <v>429</v>
      </c>
      <c r="AM80" s="31"/>
      <c r="AN80" s="32"/>
    </row>
    <row r="81" spans="1:40" s="33" customFormat="1" ht="74.25" customHeight="1" x14ac:dyDescent="0.25">
      <c r="A81" s="22">
        <v>78</v>
      </c>
      <c r="B81" s="23" t="s">
        <v>430</v>
      </c>
      <c r="C81" s="24" t="s">
        <v>431</v>
      </c>
      <c r="D81" s="22" t="s">
        <v>432</v>
      </c>
      <c r="E81" s="25" t="s">
        <v>433</v>
      </c>
      <c r="F81" s="25"/>
      <c r="G81" s="23" t="s">
        <v>49</v>
      </c>
      <c r="H81" s="24" t="s">
        <v>408</v>
      </c>
      <c r="I81" s="24" t="s">
        <v>408</v>
      </c>
      <c r="J81" s="26">
        <v>44936</v>
      </c>
      <c r="K81" s="27">
        <v>44936</v>
      </c>
      <c r="L81" s="24">
        <f>12*30</f>
        <v>360</v>
      </c>
      <c r="M81" s="24">
        <f t="shared" ca="1" si="17"/>
        <v>108</v>
      </c>
      <c r="N81" s="22" t="str">
        <f t="shared" ca="1" si="18"/>
        <v>VIGENTE</v>
      </c>
      <c r="O81" s="27">
        <v>45291</v>
      </c>
      <c r="P81" s="27">
        <v>44936</v>
      </c>
      <c r="Q81" s="24">
        <f>12*30</f>
        <v>360</v>
      </c>
      <c r="R81" s="24">
        <f t="shared" ca="1" si="19"/>
        <v>108</v>
      </c>
      <c r="S81" s="22" t="str">
        <f t="shared" ca="1" si="20"/>
        <v>VIGENTE</v>
      </c>
      <c r="T81" s="27">
        <v>45291</v>
      </c>
      <c r="U81" s="27"/>
      <c r="V81" s="27"/>
      <c r="W81" s="22">
        <f t="shared" si="15"/>
        <v>0</v>
      </c>
      <c r="X81" s="24">
        <v>5752</v>
      </c>
      <c r="Y81" s="29">
        <v>23000</v>
      </c>
      <c r="Z81" s="29">
        <f>[54]CADASTRO!$C$25</f>
        <v>23000</v>
      </c>
      <c r="AA81" s="30">
        <f>[54]CADASTRO!$C$26</f>
        <v>0</v>
      </c>
      <c r="AB81" s="23" t="s">
        <v>434</v>
      </c>
      <c r="AC81" s="23" t="s">
        <v>49</v>
      </c>
      <c r="AD81" s="23" t="s">
        <v>49</v>
      </c>
      <c r="AE81" s="23" t="s">
        <v>49</v>
      </c>
      <c r="AF81" s="22" t="s">
        <v>73</v>
      </c>
      <c r="AG81" s="31">
        <v>0</v>
      </c>
      <c r="AH81" s="31">
        <v>0</v>
      </c>
      <c r="AI81" s="27">
        <f t="shared" si="24"/>
        <v>44936</v>
      </c>
      <c r="AJ81" s="28">
        <f t="shared" ca="1" si="21"/>
        <v>4.3138888888888891</v>
      </c>
      <c r="AK81" s="27">
        <f t="shared" si="22"/>
        <v>46736</v>
      </c>
      <c r="AL81" s="24" t="s">
        <v>435</v>
      </c>
      <c r="AM81" s="31"/>
      <c r="AN81" s="32"/>
    </row>
    <row r="82" spans="1:40" s="33" customFormat="1" ht="74.25" customHeight="1" x14ac:dyDescent="0.25">
      <c r="A82" s="22">
        <v>79</v>
      </c>
      <c r="B82" s="23" t="s">
        <v>430</v>
      </c>
      <c r="C82" s="24" t="s">
        <v>436</v>
      </c>
      <c r="D82" s="49" t="s">
        <v>437</v>
      </c>
      <c r="E82" s="25" t="s">
        <v>438</v>
      </c>
      <c r="F82" s="25"/>
      <c r="G82" s="23" t="s">
        <v>49</v>
      </c>
      <c r="H82" s="24" t="s">
        <v>71</v>
      </c>
      <c r="I82" s="24" t="s">
        <v>71</v>
      </c>
      <c r="J82" s="26">
        <v>44936</v>
      </c>
      <c r="K82" s="27">
        <v>44936</v>
      </c>
      <c r="L82" s="24">
        <f>12*30</f>
        <v>360</v>
      </c>
      <c r="M82" s="24">
        <f t="shared" ca="1" si="17"/>
        <v>108</v>
      </c>
      <c r="N82" s="22" t="str">
        <f t="shared" ca="1" si="18"/>
        <v>VIGENTE</v>
      </c>
      <c r="O82" s="27">
        <v>45291</v>
      </c>
      <c r="P82" s="27">
        <v>44936</v>
      </c>
      <c r="Q82" s="24">
        <f>12*30</f>
        <v>360</v>
      </c>
      <c r="R82" s="24">
        <f t="shared" ca="1" si="19"/>
        <v>108</v>
      </c>
      <c r="S82" s="22" t="str">
        <f t="shared" ca="1" si="20"/>
        <v>VIGENTE</v>
      </c>
      <c r="T82" s="27">
        <v>45291</v>
      </c>
      <c r="U82" s="27"/>
      <c r="V82" s="27"/>
      <c r="W82" s="22">
        <f t="shared" si="15"/>
        <v>0</v>
      </c>
      <c r="X82" s="24">
        <v>5752</v>
      </c>
      <c r="Y82" s="29">
        <v>152320</v>
      </c>
      <c r="Z82" s="29">
        <f>[55]CADASTRO!$C$25</f>
        <v>152320</v>
      </c>
      <c r="AA82" s="30">
        <f>[55]CADASTRO!$C$26</f>
        <v>0</v>
      </c>
      <c r="AB82" s="23" t="s">
        <v>439</v>
      </c>
      <c r="AC82" s="23" t="s">
        <v>49</v>
      </c>
      <c r="AD82" s="23" t="s">
        <v>49</v>
      </c>
      <c r="AE82" s="23" t="s">
        <v>49</v>
      </c>
      <c r="AF82" s="22" t="s">
        <v>73</v>
      </c>
      <c r="AG82" s="31">
        <v>0</v>
      </c>
      <c r="AH82" s="31">
        <v>0</v>
      </c>
      <c r="AI82" s="27">
        <f t="shared" si="24"/>
        <v>44936</v>
      </c>
      <c r="AJ82" s="28">
        <f t="shared" ca="1" si="21"/>
        <v>4.3138888888888891</v>
      </c>
      <c r="AK82" s="27">
        <f t="shared" si="22"/>
        <v>46736</v>
      </c>
      <c r="AL82" s="24"/>
      <c r="AM82" s="31"/>
      <c r="AN82" s="32"/>
    </row>
    <row r="83" spans="1:40" s="33" customFormat="1" ht="74.25" customHeight="1" x14ac:dyDescent="0.25">
      <c r="A83" s="22">
        <v>80</v>
      </c>
      <c r="B83" s="23" t="s">
        <v>430</v>
      </c>
      <c r="C83" s="24" t="s">
        <v>440</v>
      </c>
      <c r="D83" s="22" t="s">
        <v>441</v>
      </c>
      <c r="E83" s="25" t="s">
        <v>442</v>
      </c>
      <c r="F83" s="25"/>
      <c r="G83" s="23" t="s">
        <v>49</v>
      </c>
      <c r="H83" s="24" t="s">
        <v>71</v>
      </c>
      <c r="I83" s="24" t="s">
        <v>71</v>
      </c>
      <c r="J83" s="26">
        <v>45000</v>
      </c>
      <c r="K83" s="27">
        <v>45000</v>
      </c>
      <c r="L83" s="24">
        <f>9*30</f>
        <v>270</v>
      </c>
      <c r="M83" s="24">
        <f t="shared" ca="1" si="17"/>
        <v>108</v>
      </c>
      <c r="N83" s="22" t="str">
        <f t="shared" ca="1" si="18"/>
        <v>VIGENTE</v>
      </c>
      <c r="O83" s="27">
        <v>45291</v>
      </c>
      <c r="P83" s="27">
        <v>45000</v>
      </c>
      <c r="Q83" s="24">
        <f>9*30</f>
        <v>270</v>
      </c>
      <c r="R83" s="24">
        <f t="shared" ca="1" si="19"/>
        <v>108</v>
      </c>
      <c r="S83" s="22" t="str">
        <f t="shared" ca="1" si="20"/>
        <v>VIGENTE</v>
      </c>
      <c r="T83" s="27">
        <v>45291</v>
      </c>
      <c r="U83" s="27"/>
      <c r="V83" s="27"/>
      <c r="W83" s="22">
        <f t="shared" si="15"/>
        <v>0</v>
      </c>
      <c r="X83" s="24">
        <v>5752</v>
      </c>
      <c r="Y83" s="29">
        <v>1950</v>
      </c>
      <c r="Z83" s="29">
        <f>[56]CADASTRO!$C$25</f>
        <v>1950</v>
      </c>
      <c r="AA83" s="30">
        <f>[56]CADASTRO!$C$26</f>
        <v>0</v>
      </c>
      <c r="AB83" s="23" t="s">
        <v>434</v>
      </c>
      <c r="AC83" s="23" t="s">
        <v>49</v>
      </c>
      <c r="AD83" s="23" t="s">
        <v>49</v>
      </c>
      <c r="AE83" s="23" t="s">
        <v>49</v>
      </c>
      <c r="AF83" s="22" t="s">
        <v>73</v>
      </c>
      <c r="AG83" s="31">
        <v>0</v>
      </c>
      <c r="AH83" s="31">
        <v>0</v>
      </c>
      <c r="AI83" s="27">
        <f t="shared" si="24"/>
        <v>45000</v>
      </c>
      <c r="AJ83" s="28">
        <f t="shared" ca="1" si="21"/>
        <v>4.4916666666666663</v>
      </c>
      <c r="AK83" s="27">
        <f t="shared" si="22"/>
        <v>46800</v>
      </c>
      <c r="AL83" s="24"/>
      <c r="AM83" s="31"/>
      <c r="AN83" s="32"/>
    </row>
    <row r="84" spans="1:40" s="33" customFormat="1" ht="74.25" customHeight="1" x14ac:dyDescent="0.25">
      <c r="A84" s="22">
        <v>81</v>
      </c>
      <c r="B84" s="23" t="s">
        <v>45</v>
      </c>
      <c r="C84" s="24" t="s">
        <v>443</v>
      </c>
      <c r="D84" s="22" t="s">
        <v>444</v>
      </c>
      <c r="E84" s="25" t="s">
        <v>445</v>
      </c>
      <c r="F84" s="25"/>
      <c r="G84" s="23" t="s">
        <v>49</v>
      </c>
      <c r="H84" s="24" t="s">
        <v>71</v>
      </c>
      <c r="I84" s="24" t="s">
        <v>71</v>
      </c>
      <c r="J84" s="26">
        <v>44959</v>
      </c>
      <c r="K84" s="27">
        <v>44959</v>
      </c>
      <c r="L84" s="24">
        <f>12*30</f>
        <v>360</v>
      </c>
      <c r="M84" s="24">
        <f t="shared" ca="1" si="17"/>
        <v>151</v>
      </c>
      <c r="N84" s="22" t="str">
        <f t="shared" ca="1" si="18"/>
        <v>VIGENTE</v>
      </c>
      <c r="O84" s="27">
        <v>45334</v>
      </c>
      <c r="P84" s="27">
        <v>44959</v>
      </c>
      <c r="Q84" s="24">
        <f>12*30</f>
        <v>360</v>
      </c>
      <c r="R84" s="24">
        <f t="shared" ca="1" si="19"/>
        <v>151</v>
      </c>
      <c r="S84" s="22" t="str">
        <f t="shared" ca="1" si="20"/>
        <v>VIGENTE</v>
      </c>
      <c r="T84" s="27">
        <v>45334</v>
      </c>
      <c r="U84" s="27"/>
      <c r="V84" s="27"/>
      <c r="W84" s="22">
        <f t="shared" si="15"/>
        <v>0</v>
      </c>
      <c r="X84" s="24">
        <v>5500</v>
      </c>
      <c r="Y84" s="29">
        <v>6920</v>
      </c>
      <c r="Z84" s="29">
        <v>0</v>
      </c>
      <c r="AA84" s="30">
        <v>0</v>
      </c>
      <c r="AB84" s="23" t="s">
        <v>446</v>
      </c>
      <c r="AC84" s="23" t="s">
        <v>49</v>
      </c>
      <c r="AD84" s="23" t="s">
        <v>49</v>
      </c>
      <c r="AE84" s="23" t="s">
        <v>49</v>
      </c>
      <c r="AF84" s="22" t="s">
        <v>73</v>
      </c>
      <c r="AG84" s="31">
        <v>0</v>
      </c>
      <c r="AH84" s="31">
        <v>0</v>
      </c>
      <c r="AI84" s="27">
        <f t="shared" si="24"/>
        <v>44959</v>
      </c>
      <c r="AJ84" s="28">
        <f t="shared" ca="1" si="21"/>
        <v>4.3777777777777782</v>
      </c>
      <c r="AK84" s="27">
        <f t="shared" si="22"/>
        <v>46759</v>
      </c>
      <c r="AL84" s="24"/>
      <c r="AM84" s="31"/>
      <c r="AN84" s="50"/>
    </row>
    <row r="85" spans="1:40" s="33" customFormat="1" ht="74.25" customHeight="1" x14ac:dyDescent="0.25">
      <c r="A85" s="22">
        <v>82</v>
      </c>
      <c r="B85" s="23" t="s">
        <v>447</v>
      </c>
      <c r="C85" s="24" t="s">
        <v>448</v>
      </c>
      <c r="D85" s="22" t="s">
        <v>449</v>
      </c>
      <c r="E85" s="25" t="s">
        <v>450</v>
      </c>
      <c r="F85" s="25"/>
      <c r="G85" s="23" t="s">
        <v>49</v>
      </c>
      <c r="H85" s="24" t="s">
        <v>71</v>
      </c>
      <c r="I85" s="24" t="s">
        <v>71</v>
      </c>
      <c r="J85" s="26">
        <v>44890</v>
      </c>
      <c r="K85" s="27">
        <v>44890</v>
      </c>
      <c r="L85" s="24">
        <f>30*30</f>
        <v>900</v>
      </c>
      <c r="M85" s="24">
        <f t="shared" ca="1" si="17"/>
        <v>618</v>
      </c>
      <c r="N85" s="22" t="str">
        <f t="shared" ca="1" si="18"/>
        <v>VIGENTE</v>
      </c>
      <c r="O85" s="27">
        <v>45801</v>
      </c>
      <c r="P85" s="27">
        <v>44901</v>
      </c>
      <c r="Q85" s="24">
        <f>30*30</f>
        <v>900</v>
      </c>
      <c r="R85" s="24">
        <f t="shared" ca="1" si="19"/>
        <v>630</v>
      </c>
      <c r="S85" s="22" t="str">
        <f t="shared" ca="1" si="20"/>
        <v>VIGENTE</v>
      </c>
      <c r="T85" s="27">
        <v>45813</v>
      </c>
      <c r="U85" s="27"/>
      <c r="V85" s="27"/>
      <c r="W85" s="22">
        <f t="shared" si="15"/>
        <v>0</v>
      </c>
      <c r="X85" s="23" t="s">
        <v>451</v>
      </c>
      <c r="Y85" s="29">
        <v>138702500</v>
      </c>
      <c r="Z85" s="29">
        <f>[57]CADASTRO!$C$31</f>
        <v>138702500</v>
      </c>
      <c r="AA85" s="30">
        <f>[57]CADASTRO!$C$32</f>
        <v>0</v>
      </c>
      <c r="AB85" s="23" t="s">
        <v>452</v>
      </c>
      <c r="AC85" s="23" t="s">
        <v>453</v>
      </c>
      <c r="AD85" s="23" t="s">
        <v>49</v>
      </c>
      <c r="AE85" s="23" t="s">
        <v>49</v>
      </c>
      <c r="AF85" s="22" t="s">
        <v>73</v>
      </c>
      <c r="AG85" s="31">
        <v>0</v>
      </c>
      <c r="AH85" s="31">
        <v>0</v>
      </c>
      <c r="AI85" s="27">
        <f t="shared" si="24"/>
        <v>44890</v>
      </c>
      <c r="AJ85" s="28">
        <f t="shared" ca="1" si="21"/>
        <v>4.1861111111111109</v>
      </c>
      <c r="AK85" s="27">
        <f t="shared" si="22"/>
        <v>46690</v>
      </c>
      <c r="AL85" s="24"/>
      <c r="AM85" s="31"/>
      <c r="AN85" s="32"/>
    </row>
    <row r="86" spans="1:40" s="33" customFormat="1" ht="74.25" customHeight="1" x14ac:dyDescent="0.25">
      <c r="A86" s="22">
        <v>83</v>
      </c>
      <c r="B86" s="23" t="s">
        <v>447</v>
      </c>
      <c r="C86" s="24" t="s">
        <v>454</v>
      </c>
      <c r="D86" s="22" t="s">
        <v>455</v>
      </c>
      <c r="E86" s="25" t="s">
        <v>456</v>
      </c>
      <c r="F86" s="25"/>
      <c r="G86" s="23" t="s">
        <v>49</v>
      </c>
      <c r="H86" s="24" t="s">
        <v>408</v>
      </c>
      <c r="I86" s="24" t="s">
        <v>408</v>
      </c>
      <c r="J86" s="26">
        <v>44967</v>
      </c>
      <c r="K86" s="27">
        <v>44967</v>
      </c>
      <c r="L86" s="24">
        <f>14*30</f>
        <v>420</v>
      </c>
      <c r="M86" s="24">
        <f t="shared" ca="1" si="17"/>
        <v>208</v>
      </c>
      <c r="N86" s="22" t="str">
        <f t="shared" ca="1" si="18"/>
        <v>VIGENTE</v>
      </c>
      <c r="O86" s="27">
        <v>45391</v>
      </c>
      <c r="P86" s="27">
        <v>45345</v>
      </c>
      <c r="Q86" s="24">
        <f>12*30</f>
        <v>360</v>
      </c>
      <c r="R86" s="24">
        <f t="shared" ca="1" si="19"/>
        <v>161</v>
      </c>
      <c r="S86" s="22" t="str">
        <f t="shared" ca="1" si="20"/>
        <v>VIGENTE</v>
      </c>
      <c r="T86" s="27">
        <v>45344</v>
      </c>
      <c r="U86" s="27"/>
      <c r="V86" s="27"/>
      <c r="W86" s="22">
        <f t="shared" si="15"/>
        <v>0</v>
      </c>
      <c r="X86" s="24">
        <v>6105</v>
      </c>
      <c r="Y86" s="29">
        <v>18866245.140000001</v>
      </c>
      <c r="Z86" s="29">
        <f>[58]CADASTRO!$C$31</f>
        <v>18866245.140000001</v>
      </c>
      <c r="AA86" s="30">
        <f>[58]CADASTRO!$C$32</f>
        <v>0</v>
      </c>
      <c r="AB86" s="23" t="s">
        <v>242</v>
      </c>
      <c r="AC86" s="23" t="s">
        <v>49</v>
      </c>
      <c r="AD86" s="23" t="s">
        <v>49</v>
      </c>
      <c r="AE86" s="23" t="s">
        <v>49</v>
      </c>
      <c r="AF86" s="22" t="s">
        <v>54</v>
      </c>
      <c r="AG86" s="31">
        <v>1</v>
      </c>
      <c r="AH86" s="31">
        <v>0</v>
      </c>
      <c r="AI86" s="27">
        <v>45001</v>
      </c>
      <c r="AJ86" s="28">
        <f t="shared" ca="1" si="21"/>
        <v>4.4944444444444445</v>
      </c>
      <c r="AK86" s="27">
        <f t="shared" si="22"/>
        <v>46801</v>
      </c>
      <c r="AL86" s="24">
        <v>3711</v>
      </c>
      <c r="AM86" s="31" t="s">
        <v>56</v>
      </c>
      <c r="AN86" s="32" t="s">
        <v>457</v>
      </c>
    </row>
    <row r="87" spans="1:40" s="33" customFormat="1" ht="74.25" customHeight="1" x14ac:dyDescent="0.25">
      <c r="A87" s="22">
        <v>84</v>
      </c>
      <c r="B87" s="51" t="s">
        <v>430</v>
      </c>
      <c r="C87" s="52" t="s">
        <v>458</v>
      </c>
      <c r="D87" s="49" t="s">
        <v>459</v>
      </c>
      <c r="E87" s="53" t="s">
        <v>460</v>
      </c>
      <c r="F87" s="53"/>
      <c r="G87" s="51" t="s">
        <v>49</v>
      </c>
      <c r="H87" s="52" t="s">
        <v>71</v>
      </c>
      <c r="I87" s="52" t="s">
        <v>71</v>
      </c>
      <c r="J87" s="26">
        <v>44936</v>
      </c>
      <c r="K87" s="54">
        <v>44936</v>
      </c>
      <c r="L87" s="52">
        <f>12*30</f>
        <v>360</v>
      </c>
      <c r="M87" s="52">
        <f t="shared" ca="1" si="17"/>
        <v>108</v>
      </c>
      <c r="N87" s="49" t="str">
        <f t="shared" ca="1" si="18"/>
        <v>VIGENTE</v>
      </c>
      <c r="O87" s="54">
        <v>45291</v>
      </c>
      <c r="P87" s="54">
        <v>44936</v>
      </c>
      <c r="Q87" s="52">
        <f>12*30</f>
        <v>360</v>
      </c>
      <c r="R87" s="52">
        <f t="shared" ca="1" si="19"/>
        <v>108</v>
      </c>
      <c r="S87" s="49" t="str">
        <f t="shared" ca="1" si="20"/>
        <v>VIGENTE</v>
      </c>
      <c r="T87" s="54">
        <v>45291</v>
      </c>
      <c r="U87" s="54"/>
      <c r="V87" s="54"/>
      <c r="W87" s="49">
        <f t="shared" si="15"/>
        <v>0</v>
      </c>
      <c r="X87" s="52">
        <v>5752</v>
      </c>
      <c r="Y87" s="29">
        <v>4074</v>
      </c>
      <c r="Z87" s="29">
        <v>0</v>
      </c>
      <c r="AA87" s="30">
        <f>[59]CADASTRO!$C$26</f>
        <v>0</v>
      </c>
      <c r="AB87" s="51" t="s">
        <v>434</v>
      </c>
      <c r="AC87" s="51" t="s">
        <v>49</v>
      </c>
      <c r="AD87" s="51" t="s">
        <v>49</v>
      </c>
      <c r="AE87" s="51" t="s">
        <v>49</v>
      </c>
      <c r="AF87" s="49" t="s">
        <v>73</v>
      </c>
      <c r="AG87" s="55">
        <v>0</v>
      </c>
      <c r="AH87" s="55">
        <v>0</v>
      </c>
      <c r="AI87" s="54">
        <f>J87</f>
        <v>44936</v>
      </c>
      <c r="AJ87" s="56">
        <f t="shared" ca="1" si="21"/>
        <v>4.3138888888888891</v>
      </c>
      <c r="AK87" s="54">
        <f t="shared" si="22"/>
        <v>46736</v>
      </c>
      <c r="AL87" s="52"/>
      <c r="AM87" s="55"/>
      <c r="AN87" s="57"/>
    </row>
    <row r="88" spans="1:40" s="33" customFormat="1" ht="75.75" customHeight="1" x14ac:dyDescent="0.25">
      <c r="A88" s="22">
        <v>85</v>
      </c>
      <c r="B88" s="23" t="s">
        <v>45</v>
      </c>
      <c r="C88" s="24" t="s">
        <v>46</v>
      </c>
      <c r="D88" s="22" t="s">
        <v>461</v>
      </c>
      <c r="E88" s="25" t="s">
        <v>462</v>
      </c>
      <c r="F88" s="25"/>
      <c r="G88" s="23" t="s">
        <v>49</v>
      </c>
      <c r="H88" s="24" t="s">
        <v>60</v>
      </c>
      <c r="I88" s="24" t="s">
        <v>463</v>
      </c>
      <c r="J88" s="26">
        <v>45021</v>
      </c>
      <c r="K88" s="27">
        <v>45021</v>
      </c>
      <c r="L88" s="52">
        <f>6*30</f>
        <v>180</v>
      </c>
      <c r="M88" s="24">
        <f t="shared" ca="1" si="17"/>
        <v>47</v>
      </c>
      <c r="N88" s="22" t="str">
        <f t="shared" ca="1" si="18"/>
        <v>ADITAR</v>
      </c>
      <c r="O88" s="27">
        <v>45230</v>
      </c>
      <c r="P88" s="27">
        <v>45145</v>
      </c>
      <c r="Q88" s="24">
        <f>4*30</f>
        <v>120</v>
      </c>
      <c r="R88" s="52">
        <f t="shared" ca="1" si="19"/>
        <v>81</v>
      </c>
      <c r="S88" s="49" t="str">
        <f t="shared" ca="1" si="20"/>
        <v>VIGENTE</v>
      </c>
      <c r="T88" s="27">
        <v>45264</v>
      </c>
      <c r="U88" s="27"/>
      <c r="V88" s="27"/>
      <c r="W88" s="22">
        <f t="shared" si="15"/>
        <v>0</v>
      </c>
      <c r="X88" s="24">
        <v>6405</v>
      </c>
      <c r="Y88" s="29">
        <v>617376.25</v>
      </c>
      <c r="Z88" s="29">
        <v>0</v>
      </c>
      <c r="AA88" s="30">
        <f>[59]CADASTRO!$C$26</f>
        <v>0</v>
      </c>
      <c r="AB88" s="23" t="s">
        <v>62</v>
      </c>
      <c r="AC88" s="23" t="s">
        <v>63</v>
      </c>
      <c r="AD88" s="23" t="s">
        <v>49</v>
      </c>
      <c r="AE88" s="23" t="s">
        <v>49</v>
      </c>
      <c r="AF88" s="22" t="s">
        <v>73</v>
      </c>
      <c r="AG88" s="31">
        <v>1</v>
      </c>
      <c r="AH88" s="31">
        <v>0</v>
      </c>
      <c r="AI88" s="27">
        <v>45139</v>
      </c>
      <c r="AJ88" s="28">
        <f t="shared" ca="1" si="21"/>
        <v>4.8777777777777782</v>
      </c>
      <c r="AK88" s="27">
        <f t="shared" si="22"/>
        <v>46939</v>
      </c>
      <c r="AL88" s="24"/>
      <c r="AM88" s="31"/>
      <c r="AN88" s="32"/>
    </row>
    <row r="89" spans="1:40" s="33" customFormat="1" ht="74.25" customHeight="1" x14ac:dyDescent="0.25">
      <c r="A89" s="22">
        <v>86</v>
      </c>
      <c r="B89" s="23" t="s">
        <v>45</v>
      </c>
      <c r="C89" s="24" t="s">
        <v>464</v>
      </c>
      <c r="D89" s="22" t="s">
        <v>465</v>
      </c>
      <c r="E89" s="25" t="s">
        <v>466</v>
      </c>
      <c r="F89" s="25"/>
      <c r="G89" s="23" t="s">
        <v>49</v>
      </c>
      <c r="H89" s="24" t="s">
        <v>135</v>
      </c>
      <c r="I89" s="24" t="s">
        <v>136</v>
      </c>
      <c r="J89" s="26">
        <v>45030</v>
      </c>
      <c r="K89" s="27">
        <v>45030</v>
      </c>
      <c r="L89" s="24">
        <f>11*30</f>
        <v>330</v>
      </c>
      <c r="M89" s="24">
        <f t="shared" ca="1" si="17"/>
        <v>177</v>
      </c>
      <c r="N89" s="22" t="str">
        <f t="shared" ca="1" si="18"/>
        <v>VIGENTE</v>
      </c>
      <c r="O89" s="27">
        <v>45360</v>
      </c>
      <c r="P89" s="27">
        <v>45056</v>
      </c>
      <c r="Q89" s="24">
        <f>8*30</f>
        <v>240</v>
      </c>
      <c r="R89" s="24">
        <f t="shared" ca="1" si="19"/>
        <v>112</v>
      </c>
      <c r="S89" s="22" t="str">
        <f t="shared" ca="1" si="20"/>
        <v>VIGENTE</v>
      </c>
      <c r="T89" s="27">
        <v>45295</v>
      </c>
      <c r="U89" s="27"/>
      <c r="V89" s="27"/>
      <c r="W89" s="22">
        <v>0</v>
      </c>
      <c r="X89" s="23" t="s">
        <v>467</v>
      </c>
      <c r="Y89" s="58">
        <v>4326765.3600000003</v>
      </c>
      <c r="Z89" s="29">
        <f>[60]CADASTRO!C31</f>
        <v>4326765.3600000003</v>
      </c>
      <c r="AA89" s="30">
        <f>[60]CADASTRO!C32</f>
        <v>0</v>
      </c>
      <c r="AB89" s="23" t="s">
        <v>53</v>
      </c>
      <c r="AC89" s="23" t="s">
        <v>137</v>
      </c>
      <c r="AD89" s="23" t="s">
        <v>49</v>
      </c>
      <c r="AE89" s="23" t="s">
        <v>49</v>
      </c>
      <c r="AF89" s="22" t="s">
        <v>468</v>
      </c>
      <c r="AG89" s="31">
        <v>1</v>
      </c>
      <c r="AH89" s="31">
        <v>0</v>
      </c>
      <c r="AI89" s="27">
        <v>45145</v>
      </c>
      <c r="AJ89" s="28">
        <f t="shared" ca="1" si="21"/>
        <v>4.8944444444444448</v>
      </c>
      <c r="AK89" s="27">
        <f t="shared" si="22"/>
        <v>46945</v>
      </c>
      <c r="AL89" s="24"/>
      <c r="AM89" s="31" t="s">
        <v>56</v>
      </c>
      <c r="AN89" s="32" t="s">
        <v>469</v>
      </c>
    </row>
    <row r="90" spans="1:40" s="33" customFormat="1" ht="74.25" customHeight="1" x14ac:dyDescent="0.25">
      <c r="A90" s="22">
        <v>87</v>
      </c>
      <c r="B90" s="23" t="s">
        <v>430</v>
      </c>
      <c r="C90" s="24" t="s">
        <v>470</v>
      </c>
      <c r="D90" s="22" t="s">
        <v>471</v>
      </c>
      <c r="E90" s="25" t="s">
        <v>472</v>
      </c>
      <c r="F90" s="25"/>
      <c r="G90" s="23" t="s">
        <v>49</v>
      </c>
      <c r="H90" s="24" t="s">
        <v>71</v>
      </c>
      <c r="I90" s="24" t="s">
        <v>71</v>
      </c>
      <c r="J90" s="26">
        <v>45000</v>
      </c>
      <c r="K90" s="27">
        <v>45000</v>
      </c>
      <c r="L90" s="24">
        <f>10*30</f>
        <v>300</v>
      </c>
      <c r="M90" s="24">
        <f t="shared" ca="1" si="17"/>
        <v>108</v>
      </c>
      <c r="N90" s="22" t="str">
        <f t="shared" ca="1" si="18"/>
        <v>VIGENTE</v>
      </c>
      <c r="O90" s="27">
        <v>45291</v>
      </c>
      <c r="P90" s="27">
        <v>45000</v>
      </c>
      <c r="Q90" s="24">
        <f>10*30</f>
        <v>300</v>
      </c>
      <c r="R90" s="24">
        <f t="shared" ca="1" si="19"/>
        <v>108</v>
      </c>
      <c r="S90" s="22" t="str">
        <f t="shared" ca="1" si="20"/>
        <v>VIGENTE</v>
      </c>
      <c r="T90" s="27">
        <v>45291</v>
      </c>
      <c r="U90" s="27"/>
      <c r="V90" s="27"/>
      <c r="W90" s="22">
        <f>V90-U90</f>
        <v>0</v>
      </c>
      <c r="X90" s="24">
        <v>5752</v>
      </c>
      <c r="Y90" s="29">
        <v>24268</v>
      </c>
      <c r="Z90" s="29">
        <f>[61]CADASTRO!$C$25</f>
        <v>24268</v>
      </c>
      <c r="AA90" s="30">
        <f>[61]CADASTRO!$C$26</f>
        <v>0</v>
      </c>
      <c r="AB90" s="23" t="s">
        <v>434</v>
      </c>
      <c r="AC90" s="23" t="s">
        <v>49</v>
      </c>
      <c r="AD90" s="23" t="s">
        <v>49</v>
      </c>
      <c r="AE90" s="23" t="s">
        <v>49</v>
      </c>
      <c r="AF90" s="22" t="s">
        <v>73</v>
      </c>
      <c r="AG90" s="31">
        <v>0</v>
      </c>
      <c r="AH90" s="31">
        <v>0</v>
      </c>
      <c r="AI90" s="27">
        <f>J90</f>
        <v>45000</v>
      </c>
      <c r="AJ90" s="28">
        <f t="shared" ca="1" si="21"/>
        <v>4.4916666666666663</v>
      </c>
      <c r="AK90" s="27">
        <f t="shared" si="22"/>
        <v>46800</v>
      </c>
      <c r="AL90" s="24"/>
      <c r="AM90" s="31"/>
      <c r="AN90" s="32"/>
    </row>
    <row r="91" spans="1:40" s="33" customFormat="1" ht="74.25" customHeight="1" x14ac:dyDescent="0.25">
      <c r="A91" s="22">
        <v>88</v>
      </c>
      <c r="B91" s="23" t="s">
        <v>45</v>
      </c>
      <c r="C91" s="24" t="s">
        <v>473</v>
      </c>
      <c r="D91" s="22" t="s">
        <v>474</v>
      </c>
      <c r="E91" s="25" t="s">
        <v>475</v>
      </c>
      <c r="F91" s="25"/>
      <c r="G91" s="23" t="s">
        <v>49</v>
      </c>
      <c r="H91" s="24" t="s">
        <v>71</v>
      </c>
      <c r="I91" s="24" t="s">
        <v>71</v>
      </c>
      <c r="J91" s="26">
        <v>45040</v>
      </c>
      <c r="K91" s="27">
        <v>45101</v>
      </c>
      <c r="L91" s="24">
        <f>3*30</f>
        <v>90</v>
      </c>
      <c r="M91" s="24">
        <f t="shared" ca="1" si="17"/>
        <v>7</v>
      </c>
      <c r="N91" s="22" t="str">
        <f t="shared" ca="1" si="18"/>
        <v>ADITAR</v>
      </c>
      <c r="O91" s="27">
        <v>45190</v>
      </c>
      <c r="P91" s="27">
        <v>45101</v>
      </c>
      <c r="Q91" s="24">
        <f>3*30</f>
        <v>90</v>
      </c>
      <c r="R91" s="24">
        <f t="shared" ca="1" si="19"/>
        <v>7</v>
      </c>
      <c r="S91" s="22" t="str">
        <f t="shared" ca="1" si="20"/>
        <v>ADITAR</v>
      </c>
      <c r="T91" s="27">
        <v>45190</v>
      </c>
      <c r="U91" s="27"/>
      <c r="V91" s="27"/>
      <c r="W91" s="22">
        <v>0</v>
      </c>
      <c r="X91" s="24">
        <v>5500</v>
      </c>
      <c r="Y91" s="29">
        <v>164700</v>
      </c>
      <c r="Z91" s="29">
        <v>0</v>
      </c>
      <c r="AA91" s="30">
        <f>[61]CADASTRO!$C$26</f>
        <v>0</v>
      </c>
      <c r="AB91" s="23" t="s">
        <v>127</v>
      </c>
      <c r="AC91" s="23" t="s">
        <v>128</v>
      </c>
      <c r="AD91" s="23" t="s">
        <v>49</v>
      </c>
      <c r="AE91" s="23" t="s">
        <v>49</v>
      </c>
      <c r="AF91" s="22" t="s">
        <v>73</v>
      </c>
      <c r="AG91" s="31">
        <v>1</v>
      </c>
      <c r="AH91" s="31">
        <v>1</v>
      </c>
      <c r="AI91" s="27">
        <f>J91</f>
        <v>45040</v>
      </c>
      <c r="AJ91" s="28">
        <f t="shared" ca="1" si="21"/>
        <v>4.6027777777777779</v>
      </c>
      <c r="AK91" s="27">
        <f t="shared" si="22"/>
        <v>46840</v>
      </c>
      <c r="AL91" s="24" t="s">
        <v>476</v>
      </c>
      <c r="AM91" s="31"/>
      <c r="AN91" s="32"/>
    </row>
    <row r="92" spans="1:40" s="33" customFormat="1" ht="74.25" customHeight="1" x14ac:dyDescent="0.25">
      <c r="A92" s="22">
        <v>89</v>
      </c>
      <c r="B92" s="23" t="s">
        <v>45</v>
      </c>
      <c r="C92" s="24" t="s">
        <v>105</v>
      </c>
      <c r="D92" s="22" t="s">
        <v>477</v>
      </c>
      <c r="E92" s="25" t="s">
        <v>478</v>
      </c>
      <c r="F92" s="25"/>
      <c r="G92" s="23" t="s">
        <v>49</v>
      </c>
      <c r="H92" s="24" t="s">
        <v>60</v>
      </c>
      <c r="I92" s="24" t="s">
        <v>479</v>
      </c>
      <c r="J92" s="26">
        <v>45042</v>
      </c>
      <c r="K92" s="27">
        <v>45042</v>
      </c>
      <c r="L92" s="24">
        <f>15*30</f>
        <v>450</v>
      </c>
      <c r="M92" s="24">
        <f t="shared" ca="1" si="17"/>
        <v>308</v>
      </c>
      <c r="N92" s="22" t="str">
        <f t="shared" ca="1" si="18"/>
        <v>VIGENTE</v>
      </c>
      <c r="O92" s="27">
        <v>45491</v>
      </c>
      <c r="P92" s="27">
        <v>45062</v>
      </c>
      <c r="Q92" s="24">
        <f>12.1*30</f>
        <v>363</v>
      </c>
      <c r="R92" s="24">
        <f t="shared" ca="1" si="19"/>
        <v>243</v>
      </c>
      <c r="S92" s="22" t="str">
        <f t="shared" ca="1" si="20"/>
        <v>VIGENTE</v>
      </c>
      <c r="T92" s="27">
        <v>45426</v>
      </c>
      <c r="U92" s="27"/>
      <c r="V92" s="27"/>
      <c r="W92" s="22">
        <v>0</v>
      </c>
      <c r="X92" s="24">
        <v>6404</v>
      </c>
      <c r="Y92" s="29">
        <v>2653594.11</v>
      </c>
      <c r="Z92" s="29">
        <v>0</v>
      </c>
      <c r="AA92" s="30">
        <f>[61]CADASTRO!$C$26</f>
        <v>0</v>
      </c>
      <c r="AB92" s="23" t="s">
        <v>62</v>
      </c>
      <c r="AC92" s="23" t="s">
        <v>480</v>
      </c>
      <c r="AD92" s="23"/>
      <c r="AE92" s="23" t="s">
        <v>49</v>
      </c>
      <c r="AF92" s="22" t="s">
        <v>73</v>
      </c>
      <c r="AG92" s="31">
        <v>0</v>
      </c>
      <c r="AH92" s="31">
        <v>0</v>
      </c>
      <c r="AI92" s="27">
        <f>J92</f>
        <v>45042</v>
      </c>
      <c r="AJ92" s="28">
        <f t="shared" ca="1" si="21"/>
        <v>4.6083333333333334</v>
      </c>
      <c r="AK92" s="27">
        <f t="shared" si="22"/>
        <v>46842</v>
      </c>
      <c r="AL92" s="27"/>
      <c r="AM92" s="31"/>
      <c r="AN92" s="32"/>
    </row>
    <row r="93" spans="1:40" s="63" customFormat="1" ht="74.25" customHeight="1" x14ac:dyDescent="0.25">
      <c r="A93" s="49">
        <v>90</v>
      </c>
      <c r="B93" s="51" t="s">
        <v>45</v>
      </c>
      <c r="C93" s="52" t="s">
        <v>481</v>
      </c>
      <c r="D93" s="49" t="s">
        <v>482</v>
      </c>
      <c r="E93" s="53" t="s">
        <v>483</v>
      </c>
      <c r="F93" s="52"/>
      <c r="G93" s="52" t="s">
        <v>49</v>
      </c>
      <c r="H93" s="52" t="s">
        <v>60</v>
      </c>
      <c r="I93" s="52" t="s">
        <v>479</v>
      </c>
      <c r="J93" s="59">
        <v>45042</v>
      </c>
      <c r="K93" s="60">
        <v>45042</v>
      </c>
      <c r="L93" s="52">
        <f>15*30</f>
        <v>450</v>
      </c>
      <c r="M93" s="24">
        <f t="shared" ca="1" si="17"/>
        <v>308</v>
      </c>
      <c r="N93" s="61" t="str">
        <f t="shared" ca="1" si="18"/>
        <v>VIGENTE</v>
      </c>
      <c r="O93" s="60">
        <v>45491</v>
      </c>
      <c r="P93" s="60">
        <v>45117</v>
      </c>
      <c r="Q93" s="52">
        <f>11*30</f>
        <v>330</v>
      </c>
      <c r="R93" s="24">
        <f t="shared" ca="1" si="19"/>
        <v>263</v>
      </c>
      <c r="S93" s="22" t="str">
        <f t="shared" ca="1" si="20"/>
        <v>VIGENTE</v>
      </c>
      <c r="T93" s="27">
        <v>45446</v>
      </c>
      <c r="U93" s="52"/>
      <c r="V93" s="52"/>
      <c r="W93" s="52">
        <v>0</v>
      </c>
      <c r="X93" s="24">
        <v>6404</v>
      </c>
      <c r="Y93" s="62">
        <v>659940.1</v>
      </c>
      <c r="Z93" s="35">
        <v>0</v>
      </c>
      <c r="AA93" s="30">
        <f>[61]CADASTRO!$C$26</f>
        <v>0</v>
      </c>
      <c r="AB93" s="23" t="s">
        <v>62</v>
      </c>
      <c r="AC93" s="23" t="s">
        <v>480</v>
      </c>
      <c r="AD93" s="23"/>
      <c r="AE93" s="23"/>
      <c r="AF93" s="22" t="s">
        <v>73</v>
      </c>
      <c r="AG93" s="24">
        <v>0</v>
      </c>
      <c r="AH93" s="24">
        <v>0</v>
      </c>
      <c r="AI93" s="27">
        <f>J93</f>
        <v>45042</v>
      </c>
      <c r="AJ93" s="28">
        <f t="shared" ca="1" si="21"/>
        <v>4.6083333333333334</v>
      </c>
      <c r="AK93" s="27">
        <v>46842</v>
      </c>
      <c r="AL93" s="27"/>
      <c r="AM93" s="24"/>
      <c r="AN93" s="23"/>
    </row>
    <row r="94" spans="1:40" s="33" customFormat="1" ht="74.25" customHeight="1" x14ac:dyDescent="0.25">
      <c r="A94" s="22">
        <v>91</v>
      </c>
      <c r="B94" s="23" t="s">
        <v>45</v>
      </c>
      <c r="C94" s="24" t="s">
        <v>484</v>
      </c>
      <c r="D94" s="22" t="s">
        <v>485</v>
      </c>
      <c r="E94" s="25" t="s">
        <v>486</v>
      </c>
      <c r="F94" s="25"/>
      <c r="G94" s="23" t="s">
        <v>49</v>
      </c>
      <c r="H94" s="24" t="s">
        <v>78</v>
      </c>
      <c r="I94" s="24" t="s">
        <v>112</v>
      </c>
      <c r="J94" s="26">
        <v>45075</v>
      </c>
      <c r="K94" s="27">
        <v>45075</v>
      </c>
      <c r="L94" s="24">
        <f>9*30</f>
        <v>270</v>
      </c>
      <c r="M94" s="24">
        <f t="shared" ca="1" si="17"/>
        <v>167</v>
      </c>
      <c r="N94" s="22" t="str">
        <f t="shared" ca="1" si="18"/>
        <v>VIGENTE</v>
      </c>
      <c r="O94" s="27">
        <v>45350</v>
      </c>
      <c r="P94" s="27">
        <v>45079</v>
      </c>
      <c r="Q94" s="24">
        <f>6*30</f>
        <v>180</v>
      </c>
      <c r="R94" s="24">
        <f t="shared" ca="1" si="19"/>
        <v>78</v>
      </c>
      <c r="S94" s="22" t="str">
        <f t="shared" ca="1" si="20"/>
        <v>VIGENTE</v>
      </c>
      <c r="T94" s="27">
        <v>45261</v>
      </c>
      <c r="U94" s="27"/>
      <c r="V94" s="27"/>
      <c r="W94" s="22">
        <v>0</v>
      </c>
      <c r="X94" s="24">
        <v>7420</v>
      </c>
      <c r="Y94" s="29">
        <v>608484.01</v>
      </c>
      <c r="Z94" s="29">
        <v>0</v>
      </c>
      <c r="AA94" s="30">
        <f>[61]CADASTRO!$C$26</f>
        <v>0</v>
      </c>
      <c r="AB94" s="23" t="s">
        <v>128</v>
      </c>
      <c r="AC94" s="23"/>
      <c r="AD94" s="23"/>
      <c r="AE94" s="23"/>
      <c r="AF94" s="22" t="s">
        <v>73</v>
      </c>
      <c r="AG94" s="31">
        <v>0</v>
      </c>
      <c r="AH94" s="31">
        <v>0</v>
      </c>
      <c r="AI94" s="27">
        <v>45075</v>
      </c>
      <c r="AJ94" s="28">
        <f t="shared" ca="1" si="21"/>
        <v>4.6083333333333334</v>
      </c>
      <c r="AK94" s="27">
        <v>46842</v>
      </c>
      <c r="AL94" s="27" t="s">
        <v>487</v>
      </c>
      <c r="AM94" s="31"/>
      <c r="AN94" s="32"/>
    </row>
    <row r="95" spans="1:40" s="33" customFormat="1" ht="74.25" customHeight="1" x14ac:dyDescent="0.25">
      <c r="A95" s="22">
        <v>92</v>
      </c>
      <c r="B95" s="23" t="s">
        <v>45</v>
      </c>
      <c r="C95" s="24" t="s">
        <v>488</v>
      </c>
      <c r="D95" s="64" t="s">
        <v>489</v>
      </c>
      <c r="E95" s="65" t="s">
        <v>490</v>
      </c>
      <c r="F95" s="65"/>
      <c r="G95" s="66" t="s">
        <v>49</v>
      </c>
      <c r="H95" s="67" t="s">
        <v>78</v>
      </c>
      <c r="I95" s="67" t="s">
        <v>112</v>
      </c>
      <c r="J95" s="68">
        <v>45072</v>
      </c>
      <c r="K95" s="69">
        <v>45072</v>
      </c>
      <c r="L95" s="67">
        <f>11*30</f>
        <v>330</v>
      </c>
      <c r="M95" s="67">
        <f t="shared" ca="1" si="17"/>
        <v>221</v>
      </c>
      <c r="N95" s="64" t="str">
        <f t="shared" ca="1" si="18"/>
        <v>VIGENTE</v>
      </c>
      <c r="O95" s="69">
        <v>45404</v>
      </c>
      <c r="P95" s="69">
        <v>45145</v>
      </c>
      <c r="Q95" s="67">
        <f>8*30</f>
        <v>240</v>
      </c>
      <c r="R95" s="24">
        <f t="shared" ca="1" si="19"/>
        <v>201</v>
      </c>
      <c r="S95" s="22" t="str">
        <f t="shared" ca="1" si="20"/>
        <v>VIGENTE</v>
      </c>
      <c r="T95" s="69">
        <v>45384</v>
      </c>
      <c r="U95" s="69"/>
      <c r="V95" s="69"/>
      <c r="W95" s="64">
        <v>0</v>
      </c>
      <c r="X95" s="67">
        <v>6420</v>
      </c>
      <c r="Y95" s="70">
        <v>305857.33</v>
      </c>
      <c r="Z95" s="29">
        <v>0</v>
      </c>
      <c r="AA95" s="30">
        <f>[61]CADASTRO!$C$26</f>
        <v>0</v>
      </c>
      <c r="AB95" s="23" t="s">
        <v>53</v>
      </c>
      <c r="AC95" s="23" t="s">
        <v>49</v>
      </c>
      <c r="AD95" s="23"/>
      <c r="AE95" s="23"/>
      <c r="AF95" s="22" t="s">
        <v>73</v>
      </c>
      <c r="AG95" s="31">
        <v>0</v>
      </c>
      <c r="AH95" s="31">
        <v>0</v>
      </c>
      <c r="AI95" s="27">
        <v>45075</v>
      </c>
      <c r="AJ95" s="28">
        <f t="shared" ca="1" si="21"/>
        <v>4.6083333333333334</v>
      </c>
      <c r="AK95" s="27">
        <v>46842</v>
      </c>
      <c r="AL95" s="27" t="s">
        <v>491</v>
      </c>
      <c r="AM95" s="31"/>
      <c r="AN95" s="32"/>
    </row>
    <row r="96" spans="1:40" s="33" customFormat="1" ht="74.25" customHeight="1" x14ac:dyDescent="0.25">
      <c r="A96" s="22">
        <v>93</v>
      </c>
      <c r="B96" s="23" t="s">
        <v>45</v>
      </c>
      <c r="C96" s="24" t="s">
        <v>492</v>
      </c>
      <c r="D96" s="22" t="s">
        <v>493</v>
      </c>
      <c r="E96" s="25" t="s">
        <v>494</v>
      </c>
      <c r="F96" s="25"/>
      <c r="G96" s="23" t="s">
        <v>49</v>
      </c>
      <c r="H96" s="24" t="s">
        <v>50</v>
      </c>
      <c r="I96" s="24" t="s">
        <v>495</v>
      </c>
      <c r="J96" s="26">
        <v>45071</v>
      </c>
      <c r="K96" s="27">
        <v>45071</v>
      </c>
      <c r="L96" s="24">
        <f>11*30</f>
        <v>330</v>
      </c>
      <c r="M96" s="24">
        <f t="shared" ca="1" si="17"/>
        <v>217</v>
      </c>
      <c r="N96" s="22" t="str">
        <f t="shared" ca="1" si="18"/>
        <v>VIGENTE</v>
      </c>
      <c r="O96" s="27">
        <v>45400</v>
      </c>
      <c r="P96" s="27">
        <v>45091</v>
      </c>
      <c r="Q96" s="24">
        <f>8*30</f>
        <v>240</v>
      </c>
      <c r="R96" s="24">
        <f t="shared" ca="1" si="19"/>
        <v>147</v>
      </c>
      <c r="S96" s="22" t="str">
        <f t="shared" ca="1" si="20"/>
        <v>VIGENTE</v>
      </c>
      <c r="T96" s="27">
        <v>45330</v>
      </c>
      <c r="U96" s="27"/>
      <c r="V96" s="27"/>
      <c r="W96" s="22">
        <v>0</v>
      </c>
      <c r="X96" s="24">
        <v>6420</v>
      </c>
      <c r="Y96" s="29">
        <v>2916404.97</v>
      </c>
      <c r="Z96" s="29">
        <v>0</v>
      </c>
      <c r="AA96" s="30">
        <f>[61]CADASTRO!$C$26</f>
        <v>0</v>
      </c>
      <c r="AB96" s="23" t="s">
        <v>188</v>
      </c>
      <c r="AC96" s="23"/>
      <c r="AD96" s="23"/>
      <c r="AE96" s="23"/>
      <c r="AF96" s="22" t="s">
        <v>73</v>
      </c>
      <c r="AG96" s="31">
        <v>0</v>
      </c>
      <c r="AH96" s="31">
        <v>0</v>
      </c>
      <c r="AI96" s="27">
        <v>45071</v>
      </c>
      <c r="AJ96" s="28">
        <f t="shared" ca="1" si="21"/>
        <v>4.6888888888888891</v>
      </c>
      <c r="AK96" s="27">
        <f>AI96+1800</f>
        <v>46871</v>
      </c>
      <c r="AL96" s="27" t="s">
        <v>496</v>
      </c>
      <c r="AM96" s="31"/>
      <c r="AN96" s="32"/>
    </row>
    <row r="97" spans="1:40" s="33" customFormat="1" ht="74.25" customHeight="1" x14ac:dyDescent="0.25">
      <c r="A97" s="22">
        <v>94</v>
      </c>
      <c r="B97" s="23" t="s">
        <v>45</v>
      </c>
      <c r="C97" s="24" t="s">
        <v>497</v>
      </c>
      <c r="D97" s="22" t="s">
        <v>498</v>
      </c>
      <c r="E97" s="25" t="s">
        <v>499</v>
      </c>
      <c r="F97" s="25"/>
      <c r="G97" s="23" t="s">
        <v>49</v>
      </c>
      <c r="H97" s="24" t="s">
        <v>60</v>
      </c>
      <c r="I97" s="24" t="s">
        <v>219</v>
      </c>
      <c r="J97" s="26">
        <v>45084</v>
      </c>
      <c r="K97" s="27">
        <v>45084</v>
      </c>
      <c r="L97" s="24">
        <f>5*30</f>
        <v>150</v>
      </c>
      <c r="M97" s="24">
        <f t="shared" ca="1" si="17"/>
        <v>53</v>
      </c>
      <c r="N97" s="22" t="str">
        <f t="shared" ca="1" si="18"/>
        <v>ADITAR</v>
      </c>
      <c r="O97" s="27">
        <v>45236</v>
      </c>
      <c r="P97" s="27">
        <v>45125</v>
      </c>
      <c r="Q97" s="24">
        <f>3*30</f>
        <v>90</v>
      </c>
      <c r="R97" s="24">
        <f t="shared" ca="1" si="19"/>
        <v>33</v>
      </c>
      <c r="S97" s="22" t="str">
        <f t="shared" ca="1" si="20"/>
        <v>ADITAR</v>
      </c>
      <c r="T97" s="27">
        <v>45216</v>
      </c>
      <c r="U97" s="27"/>
      <c r="V97" s="27"/>
      <c r="W97" s="22">
        <v>0</v>
      </c>
      <c r="X97" s="24">
        <v>6420</v>
      </c>
      <c r="Y97" s="29">
        <v>72766.84</v>
      </c>
      <c r="Z97" s="29">
        <v>0</v>
      </c>
      <c r="AA97" s="30">
        <f>[61]CADASTRO!$C$26</f>
        <v>0</v>
      </c>
      <c r="AB97" s="23" t="s">
        <v>128</v>
      </c>
      <c r="AC97" s="23"/>
      <c r="AD97" s="23"/>
      <c r="AE97" s="23"/>
      <c r="AF97" s="22" t="s">
        <v>86</v>
      </c>
      <c r="AG97" s="31">
        <v>0</v>
      </c>
      <c r="AH97" s="31">
        <v>0</v>
      </c>
      <c r="AI97" s="27">
        <v>45084</v>
      </c>
      <c r="AJ97" s="28">
        <f t="shared" ca="1" si="21"/>
        <v>4.7249999999999996</v>
      </c>
      <c r="AK97" s="27">
        <f>AI97+1800</f>
        <v>46884</v>
      </c>
      <c r="AL97" s="27" t="s">
        <v>500</v>
      </c>
      <c r="AM97" s="31" t="s">
        <v>56</v>
      </c>
      <c r="AN97" s="32" t="s">
        <v>501</v>
      </c>
    </row>
    <row r="98" spans="1:40" s="33" customFormat="1" ht="74.25" customHeight="1" x14ac:dyDescent="0.25">
      <c r="A98" s="22">
        <v>95</v>
      </c>
      <c r="B98" s="23" t="s">
        <v>45</v>
      </c>
      <c r="C98" s="24" t="s">
        <v>173</v>
      </c>
      <c r="D98" s="22" t="s">
        <v>502</v>
      </c>
      <c r="E98" s="25" t="s">
        <v>503</v>
      </c>
      <c r="F98" s="25"/>
      <c r="G98" s="23" t="s">
        <v>146</v>
      </c>
      <c r="H98" s="24" t="s">
        <v>71</v>
      </c>
      <c r="I98" s="24" t="s">
        <v>71</v>
      </c>
      <c r="J98" s="26">
        <v>45090</v>
      </c>
      <c r="K98" s="27">
        <v>45090</v>
      </c>
      <c r="L98" s="24">
        <f>14*30</f>
        <v>420</v>
      </c>
      <c r="M98" s="24">
        <f t="shared" ca="1" si="17"/>
        <v>333</v>
      </c>
      <c r="N98" s="22" t="str">
        <f t="shared" ca="1" si="18"/>
        <v>VIGENTE</v>
      </c>
      <c r="O98" s="27">
        <v>45516</v>
      </c>
      <c r="P98" s="27">
        <v>45117</v>
      </c>
      <c r="Q98" s="24">
        <f>12*30</f>
        <v>360</v>
      </c>
      <c r="R98" s="24">
        <f t="shared" ca="1" si="19"/>
        <v>299</v>
      </c>
      <c r="S98" s="22" t="str">
        <f t="shared" ca="1" si="20"/>
        <v>VIGENTE</v>
      </c>
      <c r="T98" s="27">
        <v>45482</v>
      </c>
      <c r="U98" s="27"/>
      <c r="V98" s="27"/>
      <c r="W98" s="22">
        <v>0</v>
      </c>
      <c r="X98" s="24">
        <v>6420</v>
      </c>
      <c r="Y98" s="29">
        <v>2019800.08</v>
      </c>
      <c r="Z98" s="29">
        <v>0</v>
      </c>
      <c r="AA98" s="30">
        <f>[61]CADASTRO!$C$26</f>
        <v>0</v>
      </c>
      <c r="AB98" s="23" t="s">
        <v>504</v>
      </c>
      <c r="AC98" s="23" t="s">
        <v>49</v>
      </c>
      <c r="AD98" s="23" t="s">
        <v>49</v>
      </c>
      <c r="AE98" s="23" t="s">
        <v>49</v>
      </c>
      <c r="AF98" s="22" t="s">
        <v>54</v>
      </c>
      <c r="AG98" s="31">
        <v>0</v>
      </c>
      <c r="AH98" s="31">
        <v>0</v>
      </c>
      <c r="AI98" s="27">
        <v>45090</v>
      </c>
      <c r="AJ98" s="28">
        <v>5</v>
      </c>
      <c r="AK98" s="27">
        <f>AI98+1800</f>
        <v>46890</v>
      </c>
      <c r="AL98" s="27" t="s">
        <v>505</v>
      </c>
      <c r="AM98" s="31"/>
      <c r="AN98" s="32" t="s">
        <v>506</v>
      </c>
    </row>
    <row r="99" spans="1:40" s="33" customFormat="1" ht="74.25" customHeight="1" x14ac:dyDescent="0.25">
      <c r="A99" s="22">
        <v>96</v>
      </c>
      <c r="B99" s="23" t="s">
        <v>45</v>
      </c>
      <c r="C99" s="24" t="s">
        <v>507</v>
      </c>
      <c r="D99" s="22" t="s">
        <v>508</v>
      </c>
      <c r="E99" s="25" t="s">
        <v>509</v>
      </c>
      <c r="F99" s="25"/>
      <c r="G99" s="23" t="s">
        <v>49</v>
      </c>
      <c r="H99" s="24" t="s">
        <v>71</v>
      </c>
      <c r="I99" s="24" t="s">
        <v>71</v>
      </c>
      <c r="J99" s="26">
        <v>43735</v>
      </c>
      <c r="K99" s="27">
        <v>45196</v>
      </c>
      <c r="L99" s="24">
        <f>12*30</f>
        <v>360</v>
      </c>
      <c r="M99" s="24">
        <f t="shared" ca="1" si="17"/>
        <v>378</v>
      </c>
      <c r="N99" s="22" t="str">
        <f t="shared" ca="1" si="18"/>
        <v>VIGENTE</v>
      </c>
      <c r="O99" s="27">
        <v>45561</v>
      </c>
      <c r="P99" s="27">
        <v>44831</v>
      </c>
      <c r="Q99" s="24">
        <f>12*30</f>
        <v>360</v>
      </c>
      <c r="R99" s="24">
        <f t="shared" ca="1" si="19"/>
        <v>378</v>
      </c>
      <c r="S99" s="22" t="str">
        <f t="shared" ca="1" si="20"/>
        <v>VIGENTE</v>
      </c>
      <c r="T99" s="27">
        <v>45561</v>
      </c>
      <c r="U99" s="27"/>
      <c r="V99" s="27"/>
      <c r="W99" s="22">
        <v>0</v>
      </c>
      <c r="X99" s="24">
        <v>6105</v>
      </c>
      <c r="Y99" s="29">
        <v>2213349.87</v>
      </c>
      <c r="Z99" s="29">
        <v>0</v>
      </c>
      <c r="AA99" s="30">
        <f>[61]CADASTRO!$C$26</f>
        <v>0</v>
      </c>
      <c r="AB99" s="23" t="s">
        <v>510</v>
      </c>
      <c r="AC99" s="23" t="s">
        <v>511</v>
      </c>
      <c r="AD99" s="23"/>
      <c r="AE99" s="23"/>
      <c r="AF99" s="22" t="s">
        <v>73</v>
      </c>
      <c r="AG99" s="31">
        <v>6</v>
      </c>
      <c r="AH99" s="31">
        <v>0</v>
      </c>
      <c r="AI99" s="27">
        <v>45118</v>
      </c>
      <c r="AJ99" s="28">
        <v>5</v>
      </c>
      <c r="AK99" s="27">
        <f>AI99+1800</f>
        <v>46918</v>
      </c>
      <c r="AL99" s="27" t="s">
        <v>512</v>
      </c>
      <c r="AM99" s="31"/>
      <c r="AN99" s="32"/>
    </row>
    <row r="100" spans="1:40" s="33" customFormat="1" ht="74.25" customHeight="1" x14ac:dyDescent="0.25">
      <c r="A100" s="22">
        <v>97</v>
      </c>
      <c r="B100" s="23" t="s">
        <v>45</v>
      </c>
      <c r="C100" s="24" t="s">
        <v>513</v>
      </c>
      <c r="D100" s="22" t="s">
        <v>514</v>
      </c>
      <c r="E100" s="25" t="s">
        <v>515</v>
      </c>
      <c r="F100" s="25"/>
      <c r="G100" s="23" t="s">
        <v>49</v>
      </c>
      <c r="H100" s="24" t="s">
        <v>60</v>
      </c>
      <c r="I100" s="24" t="s">
        <v>463</v>
      </c>
      <c r="J100" s="26">
        <v>45100</v>
      </c>
      <c r="K100" s="27">
        <v>45104</v>
      </c>
      <c r="L100" s="24">
        <f>12*30</f>
        <v>360</v>
      </c>
      <c r="M100" s="24">
        <f t="shared" ref="M100:M116" ca="1" si="25">IF(O100="","",O100-TODAY())</f>
        <v>286</v>
      </c>
      <c r="N100" s="22" t="str">
        <f t="shared" ref="N100:N131" ca="1" si="26">IF(M100&lt;=0,"EXPIRADO",IF(M100&gt;=60,"VIGENTE","ADITAR"))</f>
        <v>VIGENTE</v>
      </c>
      <c r="O100" s="27">
        <v>45469</v>
      </c>
      <c r="P100" s="27">
        <v>45117</v>
      </c>
      <c r="Q100" s="24">
        <f>6*30</f>
        <v>180</v>
      </c>
      <c r="R100" s="24">
        <f t="shared" ref="R100:R113" ca="1" si="27">IF(T100="","",T100-TODAY())</f>
        <v>117</v>
      </c>
      <c r="S100" s="22" t="str">
        <f t="shared" ref="S100:S131" ca="1" si="28">IF(R100&lt;=0,"EXPIRADO",IF(R100&gt;=60,"VIGENTE","ADITAR"))</f>
        <v>VIGENTE</v>
      </c>
      <c r="T100" s="27">
        <v>45300</v>
      </c>
      <c r="U100" s="27"/>
      <c r="V100" s="27"/>
      <c r="W100" s="22">
        <v>0</v>
      </c>
      <c r="X100" s="24">
        <v>7420</v>
      </c>
      <c r="Y100" s="29">
        <v>2312045.42</v>
      </c>
      <c r="Z100" s="29">
        <v>0</v>
      </c>
      <c r="AA100" s="30">
        <f>[61]CADASTRO!$C$26</f>
        <v>0</v>
      </c>
      <c r="AB100" s="23" t="s">
        <v>188</v>
      </c>
      <c r="AC100" s="23" t="s">
        <v>480</v>
      </c>
      <c r="AD100" s="23"/>
      <c r="AE100" s="23"/>
      <c r="AF100" s="22" t="s">
        <v>73</v>
      </c>
      <c r="AG100" s="31">
        <v>0</v>
      </c>
      <c r="AH100" s="31">
        <v>0</v>
      </c>
      <c r="AI100" s="27"/>
      <c r="AJ100" s="28"/>
      <c r="AK100" s="27"/>
      <c r="AL100" s="27" t="s">
        <v>516</v>
      </c>
      <c r="AM100" s="31"/>
      <c r="AN100" s="32"/>
    </row>
    <row r="101" spans="1:40" s="33" customFormat="1" ht="74.25" customHeight="1" x14ac:dyDescent="0.25">
      <c r="A101" s="22">
        <v>98</v>
      </c>
      <c r="B101" s="23" t="s">
        <v>45</v>
      </c>
      <c r="C101" s="24" t="s">
        <v>473</v>
      </c>
      <c r="D101" s="22" t="s">
        <v>517</v>
      </c>
      <c r="E101" s="25" t="s">
        <v>518</v>
      </c>
      <c r="F101" s="25"/>
      <c r="G101" s="23" t="s">
        <v>49</v>
      </c>
      <c r="H101" s="24" t="s">
        <v>135</v>
      </c>
      <c r="I101" s="24" t="s">
        <v>519</v>
      </c>
      <c r="J101" s="26">
        <v>45078</v>
      </c>
      <c r="K101" s="27">
        <v>45078</v>
      </c>
      <c r="L101" s="24">
        <f>14*30</f>
        <v>420</v>
      </c>
      <c r="M101" s="24">
        <f t="shared" ca="1" si="25"/>
        <v>321</v>
      </c>
      <c r="N101" s="22" t="str">
        <f t="shared" ca="1" si="26"/>
        <v>VIGENTE</v>
      </c>
      <c r="O101" s="27">
        <v>45504</v>
      </c>
      <c r="P101" s="27">
        <v>45136</v>
      </c>
      <c r="Q101" s="24">
        <f>12*30</f>
        <v>360</v>
      </c>
      <c r="R101" s="24">
        <f t="shared" ca="1" si="27"/>
        <v>288</v>
      </c>
      <c r="S101" s="22" t="str">
        <f t="shared" ca="1" si="28"/>
        <v>VIGENTE</v>
      </c>
      <c r="T101" s="27">
        <v>45471</v>
      </c>
      <c r="U101" s="27"/>
      <c r="V101" s="27"/>
      <c r="W101" s="22">
        <v>0</v>
      </c>
      <c r="X101" s="24" t="s">
        <v>520</v>
      </c>
      <c r="Y101" s="29">
        <v>2834700.99</v>
      </c>
      <c r="Z101" s="29">
        <v>0</v>
      </c>
      <c r="AA101" s="30">
        <f>[61]CADASTRO!$C$26</f>
        <v>0</v>
      </c>
      <c r="AB101" s="23" t="s">
        <v>504</v>
      </c>
      <c r="AC101" s="23" t="s">
        <v>102</v>
      </c>
      <c r="AD101" s="23" t="s">
        <v>49</v>
      </c>
      <c r="AE101" s="23" t="s">
        <v>49</v>
      </c>
      <c r="AF101" s="22" t="s">
        <v>73</v>
      </c>
      <c r="AG101" s="31">
        <v>1</v>
      </c>
      <c r="AH101" s="31">
        <v>0</v>
      </c>
      <c r="AI101" s="27">
        <v>45173</v>
      </c>
      <c r="AJ101" s="28">
        <v>5</v>
      </c>
      <c r="AK101" s="27">
        <f>AI101+1800</f>
        <v>46973</v>
      </c>
      <c r="AL101" s="27" t="s">
        <v>521</v>
      </c>
      <c r="AM101" s="31"/>
      <c r="AN101" s="32"/>
    </row>
    <row r="102" spans="1:40" s="33" customFormat="1" ht="74.25" customHeight="1" x14ac:dyDescent="0.25">
      <c r="A102" s="22" t="s">
        <v>522</v>
      </c>
      <c r="B102" s="23" t="s">
        <v>45</v>
      </c>
      <c r="C102" s="24" t="s">
        <v>523</v>
      </c>
      <c r="D102" s="22" t="s">
        <v>524</v>
      </c>
      <c r="E102" s="25" t="s">
        <v>525</v>
      </c>
      <c r="F102" s="25"/>
      <c r="G102" s="23" t="s">
        <v>49</v>
      </c>
      <c r="H102" s="24" t="s">
        <v>78</v>
      </c>
      <c r="I102" s="24" t="s">
        <v>71</v>
      </c>
      <c r="J102" s="26">
        <v>45100</v>
      </c>
      <c r="K102" s="27">
        <v>45117</v>
      </c>
      <c r="L102" s="24">
        <f>9*30</f>
        <v>270</v>
      </c>
      <c r="M102" s="24">
        <f t="shared" ca="1" si="25"/>
        <v>208</v>
      </c>
      <c r="N102" s="22" t="str">
        <f t="shared" ca="1" si="26"/>
        <v>VIGENTE</v>
      </c>
      <c r="O102" s="27">
        <v>45391</v>
      </c>
      <c r="P102" s="27">
        <v>45118</v>
      </c>
      <c r="Q102" s="24">
        <f>4*30</f>
        <v>120</v>
      </c>
      <c r="R102" s="24">
        <f t="shared" ca="1" si="27"/>
        <v>54</v>
      </c>
      <c r="S102" s="22" t="str">
        <f t="shared" ca="1" si="28"/>
        <v>ADITAR</v>
      </c>
      <c r="T102" s="27">
        <v>45237</v>
      </c>
      <c r="U102" s="27"/>
      <c r="V102" s="27"/>
      <c r="W102" s="22">
        <v>0</v>
      </c>
      <c r="X102" s="24">
        <v>7420</v>
      </c>
      <c r="Y102" s="29">
        <v>2555166.9700000002</v>
      </c>
      <c r="Z102" s="29">
        <v>0</v>
      </c>
      <c r="AA102" s="30">
        <v>0</v>
      </c>
      <c r="AB102" s="23" t="s">
        <v>188</v>
      </c>
      <c r="AC102" s="23" t="s">
        <v>420</v>
      </c>
      <c r="AD102" s="23" t="s">
        <v>49</v>
      </c>
      <c r="AE102" s="23" t="s">
        <v>49</v>
      </c>
      <c r="AF102" s="22" t="s">
        <v>86</v>
      </c>
      <c r="AG102" s="31">
        <v>0</v>
      </c>
      <c r="AH102" s="31">
        <v>0</v>
      </c>
      <c r="AI102" s="27"/>
      <c r="AJ102" s="28"/>
      <c r="AK102" s="27"/>
      <c r="AL102" s="27" t="s">
        <v>526</v>
      </c>
      <c r="AM102" s="31"/>
      <c r="AN102" s="32" t="s">
        <v>527</v>
      </c>
    </row>
    <row r="103" spans="1:40" s="33" customFormat="1" ht="74.25" customHeight="1" x14ac:dyDescent="0.25">
      <c r="A103" s="22" t="s">
        <v>528</v>
      </c>
      <c r="B103" s="23" t="s">
        <v>45</v>
      </c>
      <c r="C103" s="24" t="s">
        <v>523</v>
      </c>
      <c r="D103" s="22" t="s">
        <v>524</v>
      </c>
      <c r="E103" s="25" t="s">
        <v>529</v>
      </c>
      <c r="F103" s="25"/>
      <c r="G103" s="23" t="s">
        <v>49</v>
      </c>
      <c r="H103" s="24" t="s">
        <v>71</v>
      </c>
      <c r="I103" s="24" t="s">
        <v>71</v>
      </c>
      <c r="J103" s="26">
        <v>45100</v>
      </c>
      <c r="K103" s="27">
        <v>45117</v>
      </c>
      <c r="L103" s="24">
        <f>9*30</f>
        <v>270</v>
      </c>
      <c r="M103" s="24">
        <f t="shared" ca="1" si="25"/>
        <v>208</v>
      </c>
      <c r="N103" s="22" t="str">
        <f t="shared" ca="1" si="26"/>
        <v>VIGENTE</v>
      </c>
      <c r="O103" s="27">
        <v>45391</v>
      </c>
      <c r="P103" s="27">
        <v>45118</v>
      </c>
      <c r="Q103" s="24">
        <f>6*30</f>
        <v>180</v>
      </c>
      <c r="R103" s="24">
        <f t="shared" ca="1" si="27"/>
        <v>114</v>
      </c>
      <c r="S103" s="22" t="str">
        <f t="shared" ca="1" si="28"/>
        <v>VIGENTE</v>
      </c>
      <c r="T103" s="27">
        <v>45297</v>
      </c>
      <c r="U103" s="27"/>
      <c r="V103" s="27"/>
      <c r="W103" s="22">
        <v>0</v>
      </c>
      <c r="X103" s="24">
        <v>7420</v>
      </c>
      <c r="Y103" s="29">
        <v>2555166.9700000002</v>
      </c>
      <c r="Z103" s="29">
        <v>0</v>
      </c>
      <c r="AA103" s="30">
        <v>0</v>
      </c>
      <c r="AB103" s="23" t="s">
        <v>188</v>
      </c>
      <c r="AC103" s="23" t="s">
        <v>420</v>
      </c>
      <c r="AD103" s="23" t="s">
        <v>49</v>
      </c>
      <c r="AE103" s="23" t="s">
        <v>49</v>
      </c>
      <c r="AF103" s="22" t="s">
        <v>73</v>
      </c>
      <c r="AG103" s="31">
        <v>0</v>
      </c>
      <c r="AH103" s="31">
        <v>0</v>
      </c>
      <c r="AI103" s="27"/>
      <c r="AJ103" s="28"/>
      <c r="AK103" s="27"/>
      <c r="AL103" s="27" t="s">
        <v>526</v>
      </c>
      <c r="AM103" s="31"/>
      <c r="AN103" s="32"/>
    </row>
    <row r="104" spans="1:40" s="33" customFormat="1" ht="74.25" customHeight="1" x14ac:dyDescent="0.25">
      <c r="A104" s="22">
        <v>100</v>
      </c>
      <c r="B104" s="23" t="s">
        <v>45</v>
      </c>
      <c r="C104" s="24" t="s">
        <v>530</v>
      </c>
      <c r="D104" s="22" t="s">
        <v>531</v>
      </c>
      <c r="E104" s="25" t="s">
        <v>532</v>
      </c>
      <c r="F104" s="25"/>
      <c r="G104" s="23" t="s">
        <v>49</v>
      </c>
      <c r="H104" s="24" t="s">
        <v>78</v>
      </c>
      <c r="I104" s="24" t="s">
        <v>533</v>
      </c>
      <c r="J104" s="26">
        <v>45111</v>
      </c>
      <c r="K104" s="27">
        <v>45118</v>
      </c>
      <c r="L104" s="24">
        <f>12*30</f>
        <v>360</v>
      </c>
      <c r="M104" s="24">
        <f t="shared" ca="1" si="25"/>
        <v>300</v>
      </c>
      <c r="N104" s="22" t="str">
        <f t="shared" ca="1" si="26"/>
        <v>VIGENTE</v>
      </c>
      <c r="O104" s="27">
        <v>45483</v>
      </c>
      <c r="P104" s="27">
        <v>45124</v>
      </c>
      <c r="Q104" s="24">
        <f>6*30</f>
        <v>180</v>
      </c>
      <c r="R104" s="24">
        <f t="shared" ca="1" si="27"/>
        <v>124</v>
      </c>
      <c r="S104" s="22" t="str">
        <f t="shared" ca="1" si="28"/>
        <v>VIGENTE</v>
      </c>
      <c r="T104" s="27">
        <v>45307</v>
      </c>
      <c r="U104" s="27"/>
      <c r="V104" s="27"/>
      <c r="W104" s="22">
        <v>0</v>
      </c>
      <c r="X104" s="24">
        <v>6420</v>
      </c>
      <c r="Y104" s="29">
        <v>715036.01</v>
      </c>
      <c r="Z104" s="29">
        <v>0</v>
      </c>
      <c r="AA104" s="30">
        <v>0</v>
      </c>
      <c r="AB104" s="23" t="s">
        <v>188</v>
      </c>
      <c r="AC104" s="23" t="s">
        <v>480</v>
      </c>
      <c r="AD104" s="23"/>
      <c r="AE104" s="23"/>
      <c r="AF104" s="22" t="s">
        <v>73</v>
      </c>
      <c r="AG104" s="31">
        <v>0</v>
      </c>
      <c r="AH104" s="31">
        <v>0</v>
      </c>
      <c r="AI104" s="27"/>
      <c r="AJ104" s="28"/>
      <c r="AK104" s="27"/>
      <c r="AL104" s="27" t="s">
        <v>534</v>
      </c>
      <c r="AM104" s="31"/>
      <c r="AN104" s="32"/>
    </row>
    <row r="105" spans="1:40" s="33" customFormat="1" ht="87" customHeight="1" x14ac:dyDescent="0.25">
      <c r="A105" s="22">
        <v>101</v>
      </c>
      <c r="B105" s="23" t="s">
        <v>45</v>
      </c>
      <c r="C105" s="24" t="s">
        <v>535</v>
      </c>
      <c r="D105" s="22" t="s">
        <v>536</v>
      </c>
      <c r="E105" s="25" t="s">
        <v>537</v>
      </c>
      <c r="F105" s="25"/>
      <c r="G105" s="23" t="s">
        <v>49</v>
      </c>
      <c r="H105" s="24" t="s">
        <v>71</v>
      </c>
      <c r="I105" s="24" t="s">
        <v>71</v>
      </c>
      <c r="J105" s="26">
        <v>45118</v>
      </c>
      <c r="K105" s="27">
        <v>45120</v>
      </c>
      <c r="L105" s="24">
        <f>12*30</f>
        <v>360</v>
      </c>
      <c r="M105" s="24">
        <f t="shared" ca="1" si="25"/>
        <v>302</v>
      </c>
      <c r="N105" s="22" t="str">
        <f t="shared" ca="1" si="26"/>
        <v>VIGENTE</v>
      </c>
      <c r="O105" s="27">
        <v>45485</v>
      </c>
      <c r="P105" s="27">
        <v>45134</v>
      </c>
      <c r="Q105" s="24">
        <f>6*30</f>
        <v>180</v>
      </c>
      <c r="R105" s="24">
        <f t="shared" ca="1" si="27"/>
        <v>134</v>
      </c>
      <c r="S105" s="22" t="str">
        <f t="shared" ca="1" si="28"/>
        <v>VIGENTE</v>
      </c>
      <c r="T105" s="27">
        <v>45317</v>
      </c>
      <c r="U105" s="27"/>
      <c r="V105" s="27"/>
      <c r="W105" s="22">
        <v>0</v>
      </c>
      <c r="X105" s="24">
        <v>7420</v>
      </c>
      <c r="Y105" s="29">
        <v>133342.49</v>
      </c>
      <c r="Z105" s="29">
        <v>0</v>
      </c>
      <c r="AA105" s="30">
        <v>0</v>
      </c>
      <c r="AB105" s="23" t="s">
        <v>62</v>
      </c>
      <c r="AC105" s="23"/>
      <c r="AD105" s="23"/>
      <c r="AE105" s="23"/>
      <c r="AF105" s="22" t="s">
        <v>73</v>
      </c>
      <c r="AG105" s="31">
        <v>0</v>
      </c>
      <c r="AH105" s="31">
        <v>0</v>
      </c>
      <c r="AI105" s="27"/>
      <c r="AJ105" s="28"/>
      <c r="AK105" s="27"/>
      <c r="AL105" s="27" t="s">
        <v>538</v>
      </c>
      <c r="AM105" s="31"/>
      <c r="AN105" s="32"/>
    </row>
    <row r="106" spans="1:40" s="33" customFormat="1" ht="74.25" customHeight="1" x14ac:dyDescent="0.25">
      <c r="A106" s="22">
        <v>102</v>
      </c>
      <c r="B106" s="23" t="s">
        <v>45</v>
      </c>
      <c r="C106" s="24" t="s">
        <v>539</v>
      </c>
      <c r="D106" s="22" t="s">
        <v>540</v>
      </c>
      <c r="E106" s="71" t="s">
        <v>541</v>
      </c>
      <c r="F106" s="25"/>
      <c r="G106" s="23" t="s">
        <v>49</v>
      </c>
      <c r="H106" s="24" t="s">
        <v>78</v>
      </c>
      <c r="I106" s="24" t="s">
        <v>112</v>
      </c>
      <c r="J106" s="26">
        <v>45119</v>
      </c>
      <c r="K106" s="27">
        <v>45135</v>
      </c>
      <c r="L106" s="24">
        <f>12*30</f>
        <v>360</v>
      </c>
      <c r="M106" s="24">
        <f t="shared" ca="1" si="25"/>
        <v>317</v>
      </c>
      <c r="N106" s="22" t="str">
        <f t="shared" ca="1" si="26"/>
        <v>VIGENTE</v>
      </c>
      <c r="O106" s="27">
        <v>45500</v>
      </c>
      <c r="P106" s="27">
        <v>45145</v>
      </c>
      <c r="Q106" s="24">
        <f>6*30</f>
        <v>180</v>
      </c>
      <c r="R106" s="24">
        <f t="shared" ca="1" si="27"/>
        <v>145</v>
      </c>
      <c r="S106" s="22" t="str">
        <f t="shared" ca="1" si="28"/>
        <v>VIGENTE</v>
      </c>
      <c r="T106" s="27">
        <v>45328</v>
      </c>
      <c r="U106" s="27"/>
      <c r="V106" s="27"/>
      <c r="W106" s="22">
        <v>0</v>
      </c>
      <c r="X106" s="24">
        <v>6420</v>
      </c>
      <c r="Y106" s="29">
        <v>1681824.53</v>
      </c>
      <c r="Z106" s="29">
        <v>0</v>
      </c>
      <c r="AA106" s="30">
        <v>0</v>
      </c>
      <c r="AB106" s="23" t="s">
        <v>53</v>
      </c>
      <c r="AC106" s="23"/>
      <c r="AD106" s="23"/>
      <c r="AE106" s="23"/>
      <c r="AF106" s="22" t="s">
        <v>73</v>
      </c>
      <c r="AG106" s="31">
        <v>0</v>
      </c>
      <c r="AH106" s="31">
        <v>0</v>
      </c>
      <c r="AI106" s="27"/>
      <c r="AJ106" s="28"/>
      <c r="AK106" s="27"/>
      <c r="AL106" s="27" t="s">
        <v>542</v>
      </c>
      <c r="AM106" s="31"/>
      <c r="AN106" s="32"/>
    </row>
    <row r="107" spans="1:40" s="33" customFormat="1" ht="74.25" customHeight="1" x14ac:dyDescent="0.25">
      <c r="A107" s="22">
        <v>103</v>
      </c>
      <c r="B107" s="23" t="s">
        <v>45</v>
      </c>
      <c r="C107" s="24" t="s">
        <v>473</v>
      </c>
      <c r="D107" s="22" t="s">
        <v>543</v>
      </c>
      <c r="E107" s="25" t="s">
        <v>544</v>
      </c>
      <c r="F107" s="25"/>
      <c r="G107" s="23" t="s">
        <v>49</v>
      </c>
      <c r="H107" s="24" t="s">
        <v>135</v>
      </c>
      <c r="I107" s="24" t="s">
        <v>136</v>
      </c>
      <c r="J107" s="26">
        <v>45118</v>
      </c>
      <c r="K107" s="27">
        <v>45128</v>
      </c>
      <c r="L107" s="24">
        <f>14*30</f>
        <v>420</v>
      </c>
      <c r="M107" s="24">
        <f t="shared" ca="1" si="25"/>
        <v>372</v>
      </c>
      <c r="N107" s="22" t="str">
        <f t="shared" ca="1" si="26"/>
        <v>VIGENTE</v>
      </c>
      <c r="O107" s="27">
        <v>45555</v>
      </c>
      <c r="P107" s="27">
        <v>45136</v>
      </c>
      <c r="Q107" s="24">
        <f>12*30</f>
        <v>360</v>
      </c>
      <c r="R107" s="24">
        <f t="shared" ca="1" si="27"/>
        <v>288</v>
      </c>
      <c r="S107" s="22" t="str">
        <f t="shared" ca="1" si="28"/>
        <v>VIGENTE</v>
      </c>
      <c r="T107" s="27">
        <v>45471</v>
      </c>
      <c r="U107" s="27"/>
      <c r="V107" s="27"/>
      <c r="W107" s="22">
        <v>0</v>
      </c>
      <c r="X107" s="24">
        <v>6420</v>
      </c>
      <c r="Y107" s="29">
        <v>1878424.91</v>
      </c>
      <c r="Z107" s="29">
        <v>0</v>
      </c>
      <c r="AA107" s="30">
        <v>0</v>
      </c>
      <c r="AB107" s="23" t="s">
        <v>504</v>
      </c>
      <c r="AC107" s="23"/>
      <c r="AD107" s="23"/>
      <c r="AE107" s="23"/>
      <c r="AF107" s="22" t="s">
        <v>73</v>
      </c>
      <c r="AG107" s="31">
        <v>0</v>
      </c>
      <c r="AH107" s="31">
        <v>0</v>
      </c>
      <c r="AI107" s="27"/>
      <c r="AJ107" s="28"/>
      <c r="AK107" s="27"/>
      <c r="AL107" s="27" t="s">
        <v>545</v>
      </c>
      <c r="AM107" s="31"/>
      <c r="AN107" s="32"/>
    </row>
    <row r="108" spans="1:40" s="33" customFormat="1" ht="74.25" customHeight="1" x14ac:dyDescent="0.25">
      <c r="A108" s="22">
        <v>104</v>
      </c>
      <c r="B108" s="23" t="s">
        <v>45</v>
      </c>
      <c r="C108" s="24" t="s">
        <v>546</v>
      </c>
      <c r="D108" s="22" t="s">
        <v>547</v>
      </c>
      <c r="E108" s="25" t="s">
        <v>548</v>
      </c>
      <c r="F108" s="25"/>
      <c r="G108" s="23" t="s">
        <v>49</v>
      </c>
      <c r="H108" s="24" t="s">
        <v>78</v>
      </c>
      <c r="I108" s="24" t="s">
        <v>71</v>
      </c>
      <c r="J108" s="26">
        <v>45119</v>
      </c>
      <c r="K108" s="27">
        <v>45135</v>
      </c>
      <c r="L108" s="24">
        <f>12*30</f>
        <v>360</v>
      </c>
      <c r="M108" s="24">
        <f t="shared" ca="1" si="25"/>
        <v>317</v>
      </c>
      <c r="N108" s="22" t="str">
        <f t="shared" ca="1" si="26"/>
        <v>VIGENTE</v>
      </c>
      <c r="O108" s="27">
        <v>45500</v>
      </c>
      <c r="P108" s="27">
        <v>45145</v>
      </c>
      <c r="Q108" s="24">
        <f>6*30</f>
        <v>180</v>
      </c>
      <c r="R108" s="24">
        <f t="shared" ca="1" si="27"/>
        <v>145</v>
      </c>
      <c r="S108" s="22" t="str">
        <f t="shared" ca="1" si="28"/>
        <v>VIGENTE</v>
      </c>
      <c r="T108" s="27">
        <v>45328</v>
      </c>
      <c r="U108" s="27"/>
      <c r="V108" s="27"/>
      <c r="W108" s="22">
        <v>0</v>
      </c>
      <c r="X108" s="24">
        <v>6420</v>
      </c>
      <c r="Y108" s="29">
        <v>813033.05</v>
      </c>
      <c r="Z108" s="29">
        <v>0</v>
      </c>
      <c r="AA108" s="30">
        <v>0</v>
      </c>
      <c r="AB108" s="23" t="s">
        <v>235</v>
      </c>
      <c r="AC108" s="23"/>
      <c r="AD108" s="23"/>
      <c r="AE108" s="23"/>
      <c r="AF108" s="22" t="s">
        <v>73</v>
      </c>
      <c r="AG108" s="31">
        <v>0</v>
      </c>
      <c r="AH108" s="31">
        <v>0</v>
      </c>
      <c r="AI108" s="27"/>
      <c r="AJ108" s="28"/>
      <c r="AK108" s="27"/>
      <c r="AL108" s="27" t="s">
        <v>549</v>
      </c>
      <c r="AM108" s="31"/>
      <c r="AN108" s="32"/>
    </row>
    <row r="109" spans="1:40" s="33" customFormat="1" ht="74.25" customHeight="1" x14ac:dyDescent="0.25">
      <c r="A109" s="22">
        <v>105</v>
      </c>
      <c r="B109" s="23" t="s">
        <v>45</v>
      </c>
      <c r="C109" s="24" t="s">
        <v>488</v>
      </c>
      <c r="D109" s="22" t="s">
        <v>550</v>
      </c>
      <c r="E109" s="25" t="s">
        <v>551</v>
      </c>
      <c r="F109" s="25"/>
      <c r="G109" s="23" t="s">
        <v>49</v>
      </c>
      <c r="H109" s="24" t="s">
        <v>78</v>
      </c>
      <c r="I109" s="24" t="s">
        <v>141</v>
      </c>
      <c r="J109" s="26">
        <v>45120</v>
      </c>
      <c r="K109" s="27">
        <v>45146</v>
      </c>
      <c r="L109" s="24">
        <f>8*30</f>
        <v>240</v>
      </c>
      <c r="M109" s="24">
        <f t="shared" ca="1" si="25"/>
        <v>205</v>
      </c>
      <c r="N109" s="22" t="str">
        <f t="shared" ca="1" si="26"/>
        <v>VIGENTE</v>
      </c>
      <c r="O109" s="27">
        <v>45388</v>
      </c>
      <c r="P109" s="27">
        <v>45146</v>
      </c>
      <c r="Q109" s="24">
        <f>6*30</f>
        <v>180</v>
      </c>
      <c r="R109" s="24">
        <f t="shared" ca="1" si="27"/>
        <v>146</v>
      </c>
      <c r="S109" s="22" t="str">
        <f t="shared" ca="1" si="28"/>
        <v>VIGENTE</v>
      </c>
      <c r="T109" s="27">
        <v>45329</v>
      </c>
      <c r="U109" s="27"/>
      <c r="V109" s="27"/>
      <c r="W109" s="22">
        <v>0</v>
      </c>
      <c r="X109" s="24">
        <v>6403</v>
      </c>
      <c r="Y109" s="29">
        <v>948128.27</v>
      </c>
      <c r="Z109" s="29">
        <v>0</v>
      </c>
      <c r="AA109" s="30">
        <v>0</v>
      </c>
      <c r="AB109" s="23" t="s">
        <v>128</v>
      </c>
      <c r="AC109" s="23" t="s">
        <v>127</v>
      </c>
      <c r="AD109" s="23"/>
      <c r="AE109" s="23"/>
      <c r="AF109" s="22" t="s">
        <v>73</v>
      </c>
      <c r="AG109" s="31">
        <v>0</v>
      </c>
      <c r="AH109" s="31">
        <v>0</v>
      </c>
      <c r="AI109" s="27"/>
      <c r="AJ109" s="28"/>
      <c r="AK109" s="27"/>
      <c r="AL109" s="27" t="s">
        <v>552</v>
      </c>
      <c r="AM109" s="31"/>
      <c r="AN109" s="32"/>
    </row>
    <row r="110" spans="1:40" s="33" customFormat="1" ht="74.25" customHeight="1" x14ac:dyDescent="0.25">
      <c r="A110" s="22">
        <v>106</v>
      </c>
      <c r="B110" s="23" t="s">
        <v>45</v>
      </c>
      <c r="C110" s="24" t="s">
        <v>553</v>
      </c>
      <c r="D110" s="22" t="s">
        <v>554</v>
      </c>
      <c r="E110" s="25" t="s">
        <v>555</v>
      </c>
      <c r="F110" s="25"/>
      <c r="G110" s="23" t="s">
        <v>49</v>
      </c>
      <c r="H110" s="24" t="s">
        <v>78</v>
      </c>
      <c r="I110" s="24" t="s">
        <v>141</v>
      </c>
      <c r="J110" s="26">
        <v>45120</v>
      </c>
      <c r="K110" s="27">
        <v>45135</v>
      </c>
      <c r="L110" s="24">
        <f>12*30</f>
        <v>360</v>
      </c>
      <c r="M110" s="24">
        <f t="shared" ca="1" si="25"/>
        <v>317</v>
      </c>
      <c r="N110" s="22" t="str">
        <f t="shared" ca="1" si="26"/>
        <v>VIGENTE</v>
      </c>
      <c r="O110" s="27">
        <v>45500</v>
      </c>
      <c r="P110" s="27">
        <v>45145</v>
      </c>
      <c r="Q110" s="24">
        <f>6*30</f>
        <v>180</v>
      </c>
      <c r="R110" s="24">
        <f t="shared" ca="1" si="27"/>
        <v>145</v>
      </c>
      <c r="S110" s="22" t="str">
        <f t="shared" ca="1" si="28"/>
        <v>VIGENTE</v>
      </c>
      <c r="T110" s="27">
        <v>45328</v>
      </c>
      <c r="U110" s="27"/>
      <c r="V110" s="27"/>
      <c r="W110" s="22">
        <v>0</v>
      </c>
      <c r="X110" s="24">
        <v>6420</v>
      </c>
      <c r="Y110" s="29">
        <v>569492.06999999995</v>
      </c>
      <c r="Z110" s="29">
        <v>0</v>
      </c>
      <c r="AA110" s="30">
        <v>0</v>
      </c>
      <c r="AB110" s="23" t="s">
        <v>480</v>
      </c>
      <c r="AC110" s="23"/>
      <c r="AD110" s="23"/>
      <c r="AE110" s="23"/>
      <c r="AF110" s="22" t="s">
        <v>73</v>
      </c>
      <c r="AG110" s="31">
        <v>0</v>
      </c>
      <c r="AH110" s="31">
        <v>0</v>
      </c>
      <c r="AI110" s="27"/>
      <c r="AJ110" s="28"/>
      <c r="AK110" s="27"/>
      <c r="AL110" s="27" t="s">
        <v>556</v>
      </c>
      <c r="AM110" s="31"/>
      <c r="AN110" s="32"/>
    </row>
    <row r="111" spans="1:40" s="33" customFormat="1" ht="74.25" customHeight="1" x14ac:dyDescent="0.25">
      <c r="A111" s="22">
        <v>107</v>
      </c>
      <c r="B111" s="23" t="s">
        <v>45</v>
      </c>
      <c r="C111" s="24" t="s">
        <v>557</v>
      </c>
      <c r="D111" s="22" t="s">
        <v>558</v>
      </c>
      <c r="E111" s="25" t="s">
        <v>559</v>
      </c>
      <c r="F111" s="25"/>
      <c r="G111" s="23" t="s">
        <v>49</v>
      </c>
      <c r="H111" s="24" t="s">
        <v>50</v>
      </c>
      <c r="I111" s="24" t="s">
        <v>50</v>
      </c>
      <c r="J111" s="26">
        <v>45128</v>
      </c>
      <c r="K111" s="27">
        <v>45133</v>
      </c>
      <c r="L111" s="24">
        <f>12*30</f>
        <v>360</v>
      </c>
      <c r="M111" s="24">
        <f t="shared" ca="1" si="25"/>
        <v>315</v>
      </c>
      <c r="N111" s="22" t="str">
        <f t="shared" ca="1" si="26"/>
        <v>VIGENTE</v>
      </c>
      <c r="O111" s="27">
        <v>45498</v>
      </c>
      <c r="P111" s="27">
        <v>45135</v>
      </c>
      <c r="Q111" s="24">
        <f>4*30</f>
        <v>120</v>
      </c>
      <c r="R111" s="24">
        <f t="shared" ca="1" si="27"/>
        <v>74</v>
      </c>
      <c r="S111" s="22" t="str">
        <f t="shared" ca="1" si="28"/>
        <v>VIGENTE</v>
      </c>
      <c r="T111" s="27">
        <v>45257</v>
      </c>
      <c r="U111" s="27"/>
      <c r="V111" s="27"/>
      <c r="W111" s="22">
        <v>0</v>
      </c>
      <c r="X111" s="24">
        <v>6420</v>
      </c>
      <c r="Y111" s="29">
        <v>720388.54</v>
      </c>
      <c r="Z111" s="29">
        <v>0</v>
      </c>
      <c r="AA111" s="30">
        <v>0</v>
      </c>
      <c r="AB111" s="23" t="s">
        <v>187</v>
      </c>
      <c r="AC111" s="23" t="s">
        <v>49</v>
      </c>
      <c r="AD111" s="23"/>
      <c r="AE111" s="23"/>
      <c r="AF111" s="22" t="s">
        <v>73</v>
      </c>
      <c r="AG111" s="31">
        <v>0</v>
      </c>
      <c r="AH111" s="31">
        <v>0</v>
      </c>
      <c r="AI111" s="27"/>
      <c r="AJ111" s="28"/>
      <c r="AK111" s="27"/>
      <c r="AL111" s="27" t="s">
        <v>560</v>
      </c>
      <c r="AM111" s="31"/>
      <c r="AN111" s="32"/>
    </row>
    <row r="112" spans="1:40" s="33" customFormat="1" ht="74.25" customHeight="1" x14ac:dyDescent="0.25">
      <c r="A112" s="22">
        <v>108</v>
      </c>
      <c r="B112" s="23" t="s">
        <v>45</v>
      </c>
      <c r="C112" s="24" t="s">
        <v>553</v>
      </c>
      <c r="D112" s="22" t="s">
        <v>561</v>
      </c>
      <c r="E112" s="25" t="s">
        <v>562</v>
      </c>
      <c r="F112" s="25"/>
      <c r="G112" s="23" t="s">
        <v>49</v>
      </c>
      <c r="H112" s="24" t="s">
        <v>78</v>
      </c>
      <c r="I112" s="24" t="s">
        <v>141</v>
      </c>
      <c r="J112" s="26">
        <v>45128</v>
      </c>
      <c r="K112" s="27">
        <v>45135</v>
      </c>
      <c r="L112" s="24">
        <f>8*30</f>
        <v>240</v>
      </c>
      <c r="M112" s="24">
        <f t="shared" ca="1" si="25"/>
        <v>195</v>
      </c>
      <c r="N112" s="22" t="str">
        <f t="shared" ca="1" si="26"/>
        <v>VIGENTE</v>
      </c>
      <c r="O112" s="27">
        <v>45378</v>
      </c>
      <c r="P112" s="27">
        <v>45141</v>
      </c>
      <c r="Q112" s="24">
        <f>6*30</f>
        <v>180</v>
      </c>
      <c r="R112" s="24">
        <f t="shared" ca="1" si="27"/>
        <v>141</v>
      </c>
      <c r="S112" s="22" t="str">
        <f t="shared" ca="1" si="28"/>
        <v>VIGENTE</v>
      </c>
      <c r="T112" s="27">
        <v>45324</v>
      </c>
      <c r="U112" s="27"/>
      <c r="V112" s="27"/>
      <c r="W112" s="22">
        <v>0</v>
      </c>
      <c r="X112" s="24" t="s">
        <v>563</v>
      </c>
      <c r="Y112" s="29">
        <v>461425.88</v>
      </c>
      <c r="Z112" s="29">
        <v>0</v>
      </c>
      <c r="AA112" s="30">
        <v>0</v>
      </c>
      <c r="AB112" s="23" t="s">
        <v>128</v>
      </c>
      <c r="AC112" s="23" t="s">
        <v>127</v>
      </c>
      <c r="AD112" s="23"/>
      <c r="AE112" s="23"/>
      <c r="AF112" s="22" t="s">
        <v>73</v>
      </c>
      <c r="AG112" s="31">
        <v>0</v>
      </c>
      <c r="AH112" s="31">
        <v>0</v>
      </c>
      <c r="AI112" s="27"/>
      <c r="AJ112" s="28"/>
      <c r="AK112" s="27"/>
      <c r="AL112" s="27" t="s">
        <v>564</v>
      </c>
      <c r="AM112" s="31"/>
      <c r="AN112" s="32"/>
    </row>
    <row r="113" spans="1:49" s="33" customFormat="1" ht="74.25" customHeight="1" x14ac:dyDescent="0.25">
      <c r="A113" s="22">
        <v>109</v>
      </c>
      <c r="B113" s="23" t="s">
        <v>45</v>
      </c>
      <c r="C113" s="24" t="s">
        <v>539</v>
      </c>
      <c r="D113" s="22" t="s">
        <v>565</v>
      </c>
      <c r="E113" s="25" t="s">
        <v>566</v>
      </c>
      <c r="F113" s="25"/>
      <c r="G113" s="23" t="s">
        <v>49</v>
      </c>
      <c r="H113" s="24" t="s">
        <v>60</v>
      </c>
      <c r="I113" s="24" t="s">
        <v>463</v>
      </c>
      <c r="J113" s="26">
        <v>45135</v>
      </c>
      <c r="K113" s="27">
        <v>45139</v>
      </c>
      <c r="L113" s="24">
        <f>15*30</f>
        <v>450</v>
      </c>
      <c r="M113" s="24">
        <f t="shared" ca="1" si="25"/>
        <v>413</v>
      </c>
      <c r="N113" s="22" t="str">
        <f t="shared" ca="1" si="26"/>
        <v>VIGENTE</v>
      </c>
      <c r="O113" s="27">
        <v>45596</v>
      </c>
      <c r="P113" s="27">
        <v>45145</v>
      </c>
      <c r="Q113" s="24">
        <f>12*30</f>
        <v>360</v>
      </c>
      <c r="R113" s="24">
        <f t="shared" ca="1" si="27"/>
        <v>321</v>
      </c>
      <c r="S113" s="22" t="str">
        <f t="shared" ca="1" si="28"/>
        <v>VIGENTE</v>
      </c>
      <c r="T113" s="27">
        <v>45504</v>
      </c>
      <c r="U113" s="27"/>
      <c r="V113" s="27"/>
      <c r="W113" s="22">
        <v>0</v>
      </c>
      <c r="X113" s="24">
        <v>6405</v>
      </c>
      <c r="Y113" s="29">
        <v>4728423.38</v>
      </c>
      <c r="Z113" s="29">
        <v>0</v>
      </c>
      <c r="AA113" s="30">
        <v>0</v>
      </c>
      <c r="AB113" s="23" t="s">
        <v>256</v>
      </c>
      <c r="AC113" s="23"/>
      <c r="AD113" s="23"/>
      <c r="AE113" s="23"/>
      <c r="AF113" s="22" t="s">
        <v>567</v>
      </c>
      <c r="AG113" s="31">
        <v>0</v>
      </c>
      <c r="AH113" s="31">
        <v>0</v>
      </c>
      <c r="AI113" s="27"/>
      <c r="AJ113" s="28"/>
      <c r="AK113" s="27"/>
      <c r="AL113" s="27" t="s">
        <v>568</v>
      </c>
      <c r="AM113" s="31"/>
      <c r="AN113" s="32" t="s">
        <v>569</v>
      </c>
    </row>
    <row r="114" spans="1:49" s="33" customFormat="1" ht="74.25" customHeight="1" x14ac:dyDescent="0.25">
      <c r="A114" s="22">
        <v>110</v>
      </c>
      <c r="B114" s="23" t="s">
        <v>45</v>
      </c>
      <c r="C114" s="24" t="s">
        <v>535</v>
      </c>
      <c r="D114" s="22" t="s">
        <v>570</v>
      </c>
      <c r="E114" s="25" t="s">
        <v>571</v>
      </c>
      <c r="F114" s="25"/>
      <c r="G114" s="23" t="s">
        <v>49</v>
      </c>
      <c r="H114" s="24" t="s">
        <v>60</v>
      </c>
      <c r="I114" s="24" t="s">
        <v>463</v>
      </c>
      <c r="J114" s="26">
        <v>45135</v>
      </c>
      <c r="K114" s="27">
        <v>45139</v>
      </c>
      <c r="L114" s="24">
        <f>15*30</f>
        <v>450</v>
      </c>
      <c r="M114" s="24">
        <f t="shared" ca="1" si="25"/>
        <v>413</v>
      </c>
      <c r="N114" s="22" t="str">
        <f t="shared" ca="1" si="26"/>
        <v>VIGENTE</v>
      </c>
      <c r="O114" s="27">
        <v>45596</v>
      </c>
      <c r="P114" s="27"/>
      <c r="Q114" s="24"/>
      <c r="R114" s="22"/>
      <c r="S114" s="27"/>
      <c r="T114" s="27"/>
      <c r="U114" s="27"/>
      <c r="V114" s="27"/>
      <c r="W114" s="22">
        <v>0</v>
      </c>
      <c r="X114" s="24">
        <v>6405</v>
      </c>
      <c r="Y114" s="29">
        <v>1150375.8500000001</v>
      </c>
      <c r="Z114" s="29">
        <v>0</v>
      </c>
      <c r="AA114" s="30">
        <v>0</v>
      </c>
      <c r="AB114" s="23" t="s">
        <v>256</v>
      </c>
      <c r="AC114" s="23"/>
      <c r="AD114" s="23"/>
      <c r="AE114" s="23"/>
      <c r="AF114" s="22" t="s">
        <v>572</v>
      </c>
      <c r="AG114" s="31">
        <v>0</v>
      </c>
      <c r="AH114" s="31">
        <v>0</v>
      </c>
      <c r="AI114" s="27"/>
      <c r="AJ114" s="28"/>
      <c r="AK114" s="27"/>
      <c r="AL114" s="27" t="s">
        <v>568</v>
      </c>
      <c r="AM114" s="31"/>
      <c r="AN114" s="32" t="s">
        <v>573</v>
      </c>
    </row>
    <row r="115" spans="1:49" s="33" customFormat="1" ht="74.25" customHeight="1" x14ac:dyDescent="0.25">
      <c r="A115" s="22">
        <v>111</v>
      </c>
      <c r="B115" s="23" t="s">
        <v>45</v>
      </c>
      <c r="C115" s="24" t="s">
        <v>574</v>
      </c>
      <c r="D115" s="22" t="s">
        <v>575</v>
      </c>
      <c r="E115" s="25" t="s">
        <v>576</v>
      </c>
      <c r="F115" s="25"/>
      <c r="G115" s="23" t="s">
        <v>49</v>
      </c>
      <c r="H115" s="24" t="s">
        <v>117</v>
      </c>
      <c r="I115" s="24" t="s">
        <v>124</v>
      </c>
      <c r="J115" s="26">
        <v>45168</v>
      </c>
      <c r="K115" s="27">
        <v>45168</v>
      </c>
      <c r="L115" s="24">
        <v>270</v>
      </c>
      <c r="M115" s="24">
        <f t="shared" ca="1" si="25"/>
        <v>254</v>
      </c>
      <c r="N115" s="22" t="str">
        <f t="shared" ca="1" si="26"/>
        <v>VIGENTE</v>
      </c>
      <c r="O115" s="27">
        <v>45437</v>
      </c>
      <c r="P115" s="27">
        <v>45169</v>
      </c>
      <c r="Q115" s="24">
        <f>6*30</f>
        <v>180</v>
      </c>
      <c r="R115" s="24">
        <f ca="1">IF(T115="","",T115-TODAY())</f>
        <v>165</v>
      </c>
      <c r="S115" s="22" t="str">
        <f ca="1">IF(R115&lt;=0,"EXPIRADO",IF(R115&gt;=60,"VIGENTE","ADITAR"))</f>
        <v>VIGENTE</v>
      </c>
      <c r="T115" s="27">
        <v>45348</v>
      </c>
      <c r="U115" s="27"/>
      <c r="V115" s="27"/>
      <c r="W115" s="22">
        <v>0</v>
      </c>
      <c r="X115" s="24">
        <v>405</v>
      </c>
      <c r="Y115" s="29">
        <v>1556157.08</v>
      </c>
      <c r="Z115" s="29">
        <v>0</v>
      </c>
      <c r="AA115" s="30">
        <v>0</v>
      </c>
      <c r="AB115" s="23" t="s">
        <v>242</v>
      </c>
      <c r="AC115" s="23"/>
      <c r="AD115" s="23"/>
      <c r="AE115" s="23"/>
      <c r="AF115" s="22" t="s">
        <v>73</v>
      </c>
      <c r="AG115" s="31">
        <v>0</v>
      </c>
      <c r="AH115" s="31">
        <v>0</v>
      </c>
      <c r="AI115" s="27"/>
      <c r="AJ115" s="28"/>
      <c r="AK115" s="27"/>
      <c r="AL115" s="27" t="s">
        <v>577</v>
      </c>
      <c r="AM115" s="31"/>
      <c r="AN115" s="32"/>
    </row>
    <row r="116" spans="1:49" s="33" customFormat="1" ht="74.25" customHeight="1" x14ac:dyDescent="0.25">
      <c r="A116" s="22">
        <v>112</v>
      </c>
      <c r="B116" s="23" t="s">
        <v>45</v>
      </c>
      <c r="C116" s="24" t="s">
        <v>105</v>
      </c>
      <c r="D116" s="22" t="s">
        <v>578</v>
      </c>
      <c r="E116" s="25" t="s">
        <v>579</v>
      </c>
      <c r="F116" s="25"/>
      <c r="G116" s="23" t="s">
        <v>49</v>
      </c>
      <c r="H116" s="24" t="s">
        <v>50</v>
      </c>
      <c r="I116" s="24" t="s">
        <v>495</v>
      </c>
      <c r="J116" s="26">
        <v>45174</v>
      </c>
      <c r="K116" s="27">
        <v>45174</v>
      </c>
      <c r="L116" s="24">
        <f>9*30</f>
        <v>270</v>
      </c>
      <c r="M116" s="24">
        <f t="shared" ca="1" si="25"/>
        <v>264</v>
      </c>
      <c r="N116" s="22" t="str">
        <f t="shared" ca="1" si="26"/>
        <v>VIGENTE</v>
      </c>
      <c r="O116" s="27">
        <v>45447</v>
      </c>
      <c r="P116" s="27"/>
      <c r="Q116" s="24">
        <f>6*30</f>
        <v>180</v>
      </c>
      <c r="R116" s="24"/>
      <c r="S116" s="22"/>
      <c r="T116" s="27"/>
      <c r="U116" s="27"/>
      <c r="V116" s="27"/>
      <c r="W116" s="22">
        <v>0</v>
      </c>
      <c r="X116" s="24">
        <v>6405</v>
      </c>
      <c r="Y116" s="29">
        <v>2763107.31</v>
      </c>
      <c r="Z116" s="29">
        <v>0</v>
      </c>
      <c r="AA116" s="30">
        <v>0</v>
      </c>
      <c r="AB116" s="23" t="s">
        <v>256</v>
      </c>
      <c r="AC116" s="23"/>
      <c r="AD116" s="23"/>
      <c r="AE116" s="23"/>
      <c r="AF116" s="22" t="s">
        <v>572</v>
      </c>
      <c r="AG116" s="31">
        <v>0</v>
      </c>
      <c r="AH116" s="31">
        <v>0</v>
      </c>
      <c r="AI116" s="27"/>
      <c r="AJ116" s="28"/>
      <c r="AK116" s="27"/>
      <c r="AL116" s="27" t="s">
        <v>580</v>
      </c>
      <c r="AM116" s="31"/>
      <c r="AN116" s="32" t="s">
        <v>581</v>
      </c>
    </row>
    <row r="117" spans="1:49" s="33" customFormat="1" ht="39" customHeight="1" x14ac:dyDescent="0.2">
      <c r="A117" s="8" t="s">
        <v>582</v>
      </c>
      <c r="B117" s="8"/>
      <c r="C117" s="8"/>
      <c r="D117" s="8"/>
      <c r="E117" s="8"/>
      <c r="F117" s="8"/>
      <c r="G117" s="8"/>
      <c r="H117" s="8"/>
      <c r="I117" s="8"/>
      <c r="J117" s="8"/>
      <c r="K117" s="8"/>
      <c r="L117" s="8"/>
      <c r="M117" s="8"/>
      <c r="N117" s="8"/>
      <c r="O117" s="8"/>
      <c r="P117" s="8"/>
      <c r="Q117" s="8"/>
      <c r="R117" s="8"/>
      <c r="S117" s="8"/>
      <c r="T117" s="8"/>
      <c r="U117" s="8"/>
      <c r="V117" s="8"/>
      <c r="W117" s="8"/>
      <c r="X117" s="8"/>
      <c r="Y117" s="72">
        <f>SUM(Y4:Y90)</f>
        <v>642645765.21000004</v>
      </c>
      <c r="Z117" s="72">
        <f>SUM(Z4:Z90)</f>
        <v>326716632.17999995</v>
      </c>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row>
    <row r="118" spans="1:49" ht="15.75" customHeight="1" x14ac:dyDescent="0.25"/>
    <row r="119" spans="1:49" ht="15.75" customHeight="1" x14ac:dyDescent="0.25"/>
    <row r="120" spans="1:49" ht="15.75" customHeight="1" x14ac:dyDescent="0.25"/>
    <row r="121" spans="1:49" ht="15.75" customHeight="1" x14ac:dyDescent="0.25"/>
    <row r="122" spans="1:49" ht="15.75" customHeight="1" x14ac:dyDescent="0.25"/>
    <row r="123" spans="1:49" ht="15.75" customHeight="1" x14ac:dyDescent="0.25"/>
    <row r="124" spans="1:49" ht="15.75" customHeight="1" x14ac:dyDescent="0.25"/>
    <row r="125" spans="1:49" ht="15.75" customHeight="1" x14ac:dyDescent="0.25"/>
    <row r="126" spans="1:49" ht="15.75" customHeight="1" x14ac:dyDescent="0.25"/>
    <row r="127" spans="1:49" ht="15.75" customHeight="1" x14ac:dyDescent="0.25"/>
    <row r="128" spans="1:49"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048430" spans="2:32" x14ac:dyDescent="0.25">
      <c r="B1048430" s="13" t="s">
        <v>45</v>
      </c>
      <c r="AD1048430" s="13" t="s">
        <v>49</v>
      </c>
      <c r="AE1048430" s="13" t="s">
        <v>49</v>
      </c>
      <c r="AF1048430" s="13" t="s">
        <v>49</v>
      </c>
    </row>
  </sheetData>
  <autoFilter ref="B3:AN117" xr:uid="{00000000-0009-0000-0000-000000000000}"/>
  <mergeCells count="9">
    <mergeCell ref="A117:X117"/>
    <mergeCell ref="B1:AN1"/>
    <mergeCell ref="B2:E2"/>
    <mergeCell ref="H2:I2"/>
    <mergeCell ref="J2:O2"/>
    <mergeCell ref="P2:W2"/>
    <mergeCell ref="Y2:AA2"/>
    <mergeCell ref="AB2:AE2"/>
    <mergeCell ref="AF2:AN2"/>
  </mergeCells>
  <conditionalFormatting sqref="M46">
    <cfRule type="iconSet" priority="2">
      <iconSet iconSet="3Symbols">
        <cfvo type="percent" val="0"/>
        <cfvo type="num" val="0"/>
        <cfvo type="num" val="60"/>
      </iconSet>
    </cfRule>
  </conditionalFormatting>
  <conditionalFormatting sqref="M50">
    <cfRule type="iconSet" priority="3">
      <iconSet iconSet="3Symbols">
        <cfvo type="percent" val="0"/>
        <cfvo type="num" val="0"/>
        <cfvo type="num" val="60"/>
      </iconSet>
    </cfRule>
  </conditionalFormatting>
  <conditionalFormatting sqref="M88">
    <cfRule type="iconSet" priority="4">
      <iconSet iconSet="3Symbols">
        <cfvo type="percent" val="0"/>
        <cfvo type="num" val="0"/>
        <cfvo type="num" val="60"/>
      </iconSet>
    </cfRule>
  </conditionalFormatting>
  <conditionalFormatting sqref="M89">
    <cfRule type="iconSet" priority="5">
      <iconSet iconSet="3Symbols">
        <cfvo type="percent" val="0"/>
        <cfvo type="num" val="0"/>
        <cfvo type="num" val="60"/>
      </iconSet>
    </cfRule>
  </conditionalFormatting>
  <conditionalFormatting sqref="M93">
    <cfRule type="iconSet" priority="6">
      <iconSet iconSet="3Symbols">
        <cfvo type="percent" val="0"/>
        <cfvo type="num" val="0"/>
        <cfvo type="num" val="60"/>
      </iconSet>
    </cfRule>
  </conditionalFormatting>
  <conditionalFormatting sqref="M94">
    <cfRule type="iconSet" priority="7">
      <iconSet iconSet="3Symbols">
        <cfvo type="percent" val="0"/>
        <cfvo type="num" val="0"/>
        <cfvo type="num" val="60"/>
      </iconSet>
    </cfRule>
  </conditionalFormatting>
  <conditionalFormatting sqref="M95">
    <cfRule type="iconSet" priority="8">
      <iconSet iconSet="3Symbols">
        <cfvo type="percent" val="0"/>
        <cfvo type="num" val="0"/>
        <cfvo type="num" val="60"/>
      </iconSet>
    </cfRule>
  </conditionalFormatting>
  <conditionalFormatting sqref="M96">
    <cfRule type="iconSet" priority="9">
      <iconSet iconSet="3Symbols">
        <cfvo type="percent" val="0"/>
        <cfvo type="num" val="0"/>
        <cfvo type="num" val="60"/>
      </iconSet>
    </cfRule>
  </conditionalFormatting>
  <conditionalFormatting sqref="M97">
    <cfRule type="iconSet" priority="10">
      <iconSet iconSet="3Symbols">
        <cfvo type="percent" val="0"/>
        <cfvo type="num" val="0"/>
        <cfvo type="num" val="60"/>
      </iconSet>
    </cfRule>
  </conditionalFormatting>
  <conditionalFormatting sqref="M98">
    <cfRule type="iconSet" priority="11">
      <iconSet iconSet="3Symbols">
        <cfvo type="percent" val="0"/>
        <cfvo type="num" val="0"/>
        <cfvo type="num" val="60"/>
      </iconSet>
    </cfRule>
  </conditionalFormatting>
  <conditionalFormatting sqref="M99">
    <cfRule type="iconSet" priority="12">
      <iconSet iconSet="3Symbols">
        <cfvo type="percent" val="0"/>
        <cfvo type="num" val="0"/>
        <cfvo type="num" val="60"/>
      </iconSet>
    </cfRule>
  </conditionalFormatting>
  <conditionalFormatting sqref="M100">
    <cfRule type="iconSet" priority="13">
      <iconSet iconSet="3Symbols">
        <cfvo type="percent" val="0"/>
        <cfvo type="num" val="0"/>
        <cfvo type="num" val="60"/>
      </iconSet>
    </cfRule>
  </conditionalFormatting>
  <conditionalFormatting sqref="M101">
    <cfRule type="iconSet" priority="14">
      <iconSet iconSet="3Symbols">
        <cfvo type="percent" val="0"/>
        <cfvo type="num" val="0"/>
        <cfvo type="num" val="60"/>
      </iconSet>
    </cfRule>
  </conditionalFormatting>
  <conditionalFormatting sqref="M102">
    <cfRule type="iconSet" priority="15">
      <iconSet iconSet="3Symbols">
        <cfvo type="percent" val="0"/>
        <cfvo type="num" val="0"/>
        <cfvo type="num" val="60"/>
      </iconSet>
    </cfRule>
  </conditionalFormatting>
  <conditionalFormatting sqref="M103">
    <cfRule type="iconSet" priority="16">
      <iconSet iconSet="3Symbols">
        <cfvo type="percent" val="0"/>
        <cfvo type="num" val="0"/>
        <cfvo type="num" val="60"/>
      </iconSet>
    </cfRule>
  </conditionalFormatting>
  <conditionalFormatting sqref="M104">
    <cfRule type="iconSet" priority="17">
      <iconSet iconSet="3Symbols">
        <cfvo type="percent" val="0"/>
        <cfvo type="num" val="0"/>
        <cfvo type="num" val="60"/>
      </iconSet>
    </cfRule>
  </conditionalFormatting>
  <conditionalFormatting sqref="M105">
    <cfRule type="iconSet" priority="18">
      <iconSet iconSet="3Symbols">
        <cfvo type="percent" val="0"/>
        <cfvo type="num" val="0"/>
        <cfvo type="num" val="60"/>
      </iconSet>
    </cfRule>
  </conditionalFormatting>
  <conditionalFormatting sqref="M106">
    <cfRule type="iconSet" priority="19">
      <iconSet iconSet="3Symbols">
        <cfvo type="percent" val="0"/>
        <cfvo type="num" val="0"/>
        <cfvo type="num" val="60"/>
      </iconSet>
    </cfRule>
  </conditionalFormatting>
  <conditionalFormatting sqref="M107">
    <cfRule type="iconSet" priority="20">
      <iconSet iconSet="3Symbols">
        <cfvo type="percent" val="0"/>
        <cfvo type="num" val="0"/>
        <cfvo type="num" val="60"/>
      </iconSet>
    </cfRule>
  </conditionalFormatting>
  <conditionalFormatting sqref="M108">
    <cfRule type="iconSet" priority="21">
      <iconSet iconSet="3Symbols">
        <cfvo type="percent" val="0"/>
        <cfvo type="num" val="0"/>
        <cfvo type="num" val="60"/>
      </iconSet>
    </cfRule>
  </conditionalFormatting>
  <conditionalFormatting sqref="M109">
    <cfRule type="iconSet" priority="22">
      <iconSet iconSet="3Symbols">
        <cfvo type="percent" val="0"/>
        <cfvo type="num" val="0"/>
        <cfvo type="num" val="60"/>
      </iconSet>
    </cfRule>
  </conditionalFormatting>
  <conditionalFormatting sqref="M110">
    <cfRule type="iconSet" priority="23">
      <iconSet iconSet="3Symbols">
        <cfvo type="percent" val="0"/>
        <cfvo type="num" val="0"/>
        <cfvo type="num" val="60"/>
      </iconSet>
    </cfRule>
  </conditionalFormatting>
  <conditionalFormatting sqref="M111">
    <cfRule type="iconSet" priority="24">
      <iconSet iconSet="3Symbols">
        <cfvo type="percent" val="0"/>
        <cfvo type="num" val="0"/>
        <cfvo type="num" val="60"/>
      </iconSet>
    </cfRule>
  </conditionalFormatting>
  <conditionalFormatting sqref="M112">
    <cfRule type="iconSet" priority="25">
      <iconSet iconSet="3Symbols">
        <cfvo type="percent" val="0"/>
        <cfvo type="num" val="0"/>
        <cfvo type="num" val="60"/>
      </iconSet>
    </cfRule>
  </conditionalFormatting>
  <conditionalFormatting sqref="M113">
    <cfRule type="iconSet" priority="26">
      <iconSet iconSet="3Symbols">
        <cfvo type="percent" val="0"/>
        <cfvo type="num" val="0"/>
        <cfvo type="num" val="60"/>
      </iconSet>
    </cfRule>
  </conditionalFormatting>
  <conditionalFormatting sqref="M114">
    <cfRule type="iconSet" priority="27">
      <iconSet iconSet="3Symbols">
        <cfvo type="percent" val="0"/>
        <cfvo type="num" val="0"/>
        <cfvo type="num" val="60"/>
      </iconSet>
    </cfRule>
  </conditionalFormatting>
  <conditionalFormatting sqref="M115">
    <cfRule type="iconSet" priority="28">
      <iconSet iconSet="3Symbols">
        <cfvo type="percent" val="0"/>
        <cfvo type="num" val="0"/>
        <cfvo type="num" val="60"/>
      </iconSet>
    </cfRule>
  </conditionalFormatting>
  <conditionalFormatting sqref="M116">
    <cfRule type="iconSet" priority="162">
      <iconSet iconSet="3Symbols">
        <cfvo type="percent" val="0"/>
        <cfvo type="num" val="0"/>
        <cfvo type="num" val="60"/>
      </iconSet>
    </cfRule>
  </conditionalFormatting>
  <conditionalFormatting sqref="M20:N20">
    <cfRule type="iconSet" priority="29">
      <iconSet iconSet="3Symbols">
        <cfvo type="percent" val="0"/>
        <cfvo type="num" val="0"/>
        <cfvo type="num" val="60"/>
      </iconSet>
    </cfRule>
  </conditionalFormatting>
  <conditionalFormatting sqref="M45:N45">
    <cfRule type="iconSet" priority="30">
      <iconSet iconSet="3Symbols">
        <cfvo type="percent" val="0"/>
        <cfvo type="num" val="0"/>
        <cfvo type="num" val="60"/>
      </iconSet>
    </cfRule>
  </conditionalFormatting>
  <conditionalFormatting sqref="M90:N90 M47:N49 M21:N44 M4:N19 M51:N87">
    <cfRule type="iconSet" priority="31">
      <iconSet iconSet="3Symbols">
        <cfvo type="percent" val="0"/>
        <cfvo type="num" val="0"/>
        <cfvo type="num" val="60"/>
      </iconSet>
    </cfRule>
  </conditionalFormatting>
  <conditionalFormatting sqref="M91:N91">
    <cfRule type="iconSet" priority="32">
      <iconSet iconSet="3Symbols">
        <cfvo type="percent" val="0"/>
        <cfvo type="num" val="0"/>
        <cfvo type="num" val="60"/>
      </iconSet>
    </cfRule>
  </conditionalFormatting>
  <conditionalFormatting sqref="M92:N92">
    <cfRule type="iconSet" priority="33">
      <iconSet iconSet="3Symbols">
        <cfvo type="percent" val="0"/>
        <cfvo type="num" val="0"/>
        <cfvo type="num" val="60"/>
      </iconSet>
    </cfRule>
  </conditionalFormatting>
  <conditionalFormatting sqref="N46">
    <cfRule type="iconSet" priority="34">
      <iconSet iconSet="3Symbols">
        <cfvo type="percent" val="0"/>
        <cfvo type="num" val="0"/>
        <cfvo type="num" val="60"/>
      </iconSet>
    </cfRule>
  </conditionalFormatting>
  <conditionalFormatting sqref="N50">
    <cfRule type="iconSet" priority="35">
      <iconSet iconSet="3Symbols">
        <cfvo type="percent" val="0"/>
        <cfvo type="num" val="0"/>
        <cfvo type="num" val="60"/>
      </iconSet>
    </cfRule>
  </conditionalFormatting>
  <conditionalFormatting sqref="N88">
    <cfRule type="iconSet" priority="36">
      <iconSet iconSet="3Symbols">
        <cfvo type="percent" val="0"/>
        <cfvo type="num" val="0"/>
        <cfvo type="num" val="60"/>
      </iconSet>
    </cfRule>
  </conditionalFormatting>
  <conditionalFormatting sqref="N89">
    <cfRule type="iconSet" priority="37">
      <iconSet iconSet="3Symbols">
        <cfvo type="percent" val="0"/>
        <cfvo type="num" val="0"/>
        <cfvo type="num" val="60"/>
      </iconSet>
    </cfRule>
  </conditionalFormatting>
  <conditionalFormatting sqref="N93">
    <cfRule type="iconSet" priority="38">
      <iconSet iconSet="3Symbols">
        <cfvo type="percent" val="0"/>
        <cfvo type="num" val="0"/>
        <cfvo type="num" val="60"/>
      </iconSet>
    </cfRule>
  </conditionalFormatting>
  <conditionalFormatting sqref="N94">
    <cfRule type="iconSet" priority="39">
      <iconSet iconSet="3Symbols">
        <cfvo type="percent" val="0"/>
        <cfvo type="num" val="0"/>
        <cfvo type="num" val="60"/>
      </iconSet>
    </cfRule>
  </conditionalFormatting>
  <conditionalFormatting sqref="N95">
    <cfRule type="iconSet" priority="40">
      <iconSet iconSet="3Symbols">
        <cfvo type="percent" val="0"/>
        <cfvo type="num" val="0"/>
        <cfvo type="num" val="60"/>
      </iconSet>
    </cfRule>
  </conditionalFormatting>
  <conditionalFormatting sqref="N96">
    <cfRule type="iconSet" priority="41">
      <iconSet iconSet="3Symbols">
        <cfvo type="percent" val="0"/>
        <cfvo type="num" val="0"/>
        <cfvo type="num" val="60"/>
      </iconSet>
    </cfRule>
  </conditionalFormatting>
  <conditionalFormatting sqref="N97">
    <cfRule type="iconSet" priority="42">
      <iconSet iconSet="3Symbols">
        <cfvo type="percent" val="0"/>
        <cfvo type="num" val="0"/>
        <cfvo type="num" val="60"/>
      </iconSet>
    </cfRule>
  </conditionalFormatting>
  <conditionalFormatting sqref="N98">
    <cfRule type="iconSet" priority="43">
      <iconSet iconSet="3Symbols">
        <cfvo type="percent" val="0"/>
        <cfvo type="num" val="0"/>
        <cfvo type="num" val="60"/>
      </iconSet>
    </cfRule>
  </conditionalFormatting>
  <conditionalFormatting sqref="N99">
    <cfRule type="iconSet" priority="44">
      <iconSet iconSet="3Symbols">
        <cfvo type="percent" val="0"/>
        <cfvo type="num" val="0"/>
        <cfvo type="num" val="60"/>
      </iconSet>
    </cfRule>
  </conditionalFormatting>
  <conditionalFormatting sqref="N100">
    <cfRule type="iconSet" priority="45">
      <iconSet iconSet="3Symbols">
        <cfvo type="percent" val="0"/>
        <cfvo type="num" val="0"/>
        <cfvo type="num" val="60"/>
      </iconSet>
    </cfRule>
  </conditionalFormatting>
  <conditionalFormatting sqref="N101">
    <cfRule type="iconSet" priority="46">
      <iconSet iconSet="3Symbols">
        <cfvo type="percent" val="0"/>
        <cfvo type="num" val="0"/>
        <cfvo type="num" val="60"/>
      </iconSet>
    </cfRule>
  </conditionalFormatting>
  <conditionalFormatting sqref="N102">
    <cfRule type="iconSet" priority="47">
      <iconSet iconSet="3Symbols">
        <cfvo type="percent" val="0"/>
        <cfvo type="num" val="0"/>
        <cfvo type="num" val="60"/>
      </iconSet>
    </cfRule>
  </conditionalFormatting>
  <conditionalFormatting sqref="N103">
    <cfRule type="iconSet" priority="48">
      <iconSet iconSet="3Symbols">
        <cfvo type="percent" val="0"/>
        <cfvo type="num" val="0"/>
        <cfvo type="num" val="60"/>
      </iconSet>
    </cfRule>
  </conditionalFormatting>
  <conditionalFormatting sqref="N104">
    <cfRule type="iconSet" priority="49">
      <iconSet iconSet="3Symbols">
        <cfvo type="percent" val="0"/>
        <cfvo type="num" val="0"/>
        <cfvo type="num" val="60"/>
      </iconSet>
    </cfRule>
  </conditionalFormatting>
  <conditionalFormatting sqref="N105">
    <cfRule type="iconSet" priority="50">
      <iconSet iconSet="3Symbols">
        <cfvo type="percent" val="0"/>
        <cfvo type="num" val="0"/>
        <cfvo type="num" val="60"/>
      </iconSet>
    </cfRule>
  </conditionalFormatting>
  <conditionalFormatting sqref="N106">
    <cfRule type="iconSet" priority="51">
      <iconSet iconSet="3Symbols">
        <cfvo type="percent" val="0"/>
        <cfvo type="num" val="0"/>
        <cfvo type="num" val="60"/>
      </iconSet>
    </cfRule>
  </conditionalFormatting>
  <conditionalFormatting sqref="N107">
    <cfRule type="iconSet" priority="52">
      <iconSet iconSet="3Symbols">
        <cfvo type="percent" val="0"/>
        <cfvo type="num" val="0"/>
        <cfvo type="num" val="60"/>
      </iconSet>
    </cfRule>
  </conditionalFormatting>
  <conditionalFormatting sqref="N108">
    <cfRule type="iconSet" priority="53">
      <iconSet iconSet="3Symbols">
        <cfvo type="percent" val="0"/>
        <cfvo type="num" val="0"/>
        <cfvo type="num" val="60"/>
      </iconSet>
    </cfRule>
  </conditionalFormatting>
  <conditionalFormatting sqref="N109">
    <cfRule type="iconSet" priority="54">
      <iconSet iconSet="3Symbols">
        <cfvo type="percent" val="0"/>
        <cfvo type="num" val="0"/>
        <cfvo type="num" val="60"/>
      </iconSet>
    </cfRule>
  </conditionalFormatting>
  <conditionalFormatting sqref="N110">
    <cfRule type="iconSet" priority="55">
      <iconSet iconSet="3Symbols">
        <cfvo type="percent" val="0"/>
        <cfvo type="num" val="0"/>
        <cfvo type="num" val="60"/>
      </iconSet>
    </cfRule>
  </conditionalFormatting>
  <conditionalFormatting sqref="N111">
    <cfRule type="iconSet" priority="56">
      <iconSet iconSet="3Symbols">
        <cfvo type="percent" val="0"/>
        <cfvo type="num" val="0"/>
        <cfvo type="num" val="60"/>
      </iconSet>
    </cfRule>
  </conditionalFormatting>
  <conditionalFormatting sqref="N112">
    <cfRule type="iconSet" priority="57">
      <iconSet iconSet="3Symbols">
        <cfvo type="percent" val="0"/>
        <cfvo type="num" val="0"/>
        <cfvo type="num" val="60"/>
      </iconSet>
    </cfRule>
  </conditionalFormatting>
  <conditionalFormatting sqref="N113">
    <cfRule type="iconSet" priority="58">
      <iconSet iconSet="3Symbols">
        <cfvo type="percent" val="0"/>
        <cfvo type="num" val="0"/>
        <cfvo type="num" val="60"/>
      </iconSet>
    </cfRule>
  </conditionalFormatting>
  <conditionalFormatting sqref="N114">
    <cfRule type="iconSet" priority="59">
      <iconSet iconSet="3Symbols">
        <cfvo type="percent" val="0"/>
        <cfvo type="num" val="0"/>
        <cfvo type="num" val="60"/>
      </iconSet>
    </cfRule>
  </conditionalFormatting>
  <conditionalFormatting sqref="N115">
    <cfRule type="iconSet" priority="60">
      <iconSet iconSet="3Symbols">
        <cfvo type="percent" val="0"/>
        <cfvo type="num" val="0"/>
        <cfvo type="num" val="60"/>
      </iconSet>
    </cfRule>
  </conditionalFormatting>
  <conditionalFormatting sqref="N116">
    <cfRule type="iconSet" priority="163">
      <iconSet iconSet="3Symbols">
        <cfvo type="percent" val="0"/>
        <cfvo type="num" val="0"/>
        <cfvo type="num" val="60"/>
      </iconSet>
    </cfRule>
  </conditionalFormatting>
  <conditionalFormatting sqref="Q114:Q116">
    <cfRule type="iconSet" priority="61">
      <iconSet iconSet="3Symbols">
        <cfvo type="percent" val="0"/>
        <cfvo type="num" val="0"/>
        <cfvo type="num" val="60"/>
      </iconSet>
    </cfRule>
  </conditionalFormatting>
  <conditionalFormatting sqref="R5">
    <cfRule type="iconSet" priority="62">
      <iconSet iconSet="3Symbols">
        <cfvo type="percent" val="0"/>
        <cfvo type="num" val="0"/>
        <cfvo type="num" val="60"/>
      </iconSet>
    </cfRule>
  </conditionalFormatting>
  <conditionalFormatting sqref="R13">
    <cfRule type="iconSet" priority="63">
      <iconSet iconSet="3Symbols">
        <cfvo type="percent" val="0"/>
        <cfvo type="num" val="0"/>
        <cfvo type="num" val="60"/>
      </iconSet>
    </cfRule>
  </conditionalFormatting>
  <conditionalFormatting sqref="R46">
    <cfRule type="iconSet" priority="64">
      <iconSet iconSet="3Symbols">
        <cfvo type="percent" val="0"/>
        <cfvo type="num" val="0"/>
        <cfvo type="num" val="60"/>
      </iconSet>
    </cfRule>
  </conditionalFormatting>
  <conditionalFormatting sqref="R50">
    <cfRule type="iconSet" priority="65">
      <iconSet iconSet="3Symbols">
        <cfvo type="percent" val="0"/>
        <cfvo type="num" val="0"/>
        <cfvo type="num" val="60"/>
      </iconSet>
    </cfRule>
  </conditionalFormatting>
  <conditionalFormatting sqref="R88">
    <cfRule type="iconSet" priority="66">
      <iconSet iconSet="3Symbols">
        <cfvo type="percent" val="0"/>
        <cfvo type="num" val="0"/>
        <cfvo type="num" val="60"/>
      </iconSet>
    </cfRule>
  </conditionalFormatting>
  <conditionalFormatting sqref="R89">
    <cfRule type="iconSet" priority="67">
      <iconSet iconSet="3Symbols">
        <cfvo type="percent" val="0"/>
        <cfvo type="num" val="0"/>
        <cfvo type="num" val="60"/>
      </iconSet>
    </cfRule>
  </conditionalFormatting>
  <conditionalFormatting sqref="R90 R14:R33 R47:R49 R4 R36:R45 R51:R87 R6:R12">
    <cfRule type="iconSet" priority="68">
      <iconSet iconSet="3Symbols">
        <cfvo type="percent" val="0"/>
        <cfvo type="num" val="0"/>
        <cfvo type="num" val="60"/>
      </iconSet>
    </cfRule>
  </conditionalFormatting>
  <conditionalFormatting sqref="R92">
    <cfRule type="iconSet" priority="69">
      <iconSet iconSet="3Symbols">
        <cfvo type="percent" val="0"/>
        <cfvo type="num" val="0"/>
        <cfvo type="num" val="60"/>
      </iconSet>
    </cfRule>
  </conditionalFormatting>
  <conditionalFormatting sqref="R93">
    <cfRule type="iconSet" priority="70">
      <iconSet iconSet="3Symbols">
        <cfvo type="percent" val="0"/>
        <cfvo type="num" val="0"/>
        <cfvo type="num" val="60"/>
      </iconSet>
    </cfRule>
  </conditionalFormatting>
  <conditionalFormatting sqref="R94">
    <cfRule type="iconSet" priority="71">
      <iconSet iconSet="3Symbols">
        <cfvo type="percent" val="0"/>
        <cfvo type="num" val="0"/>
        <cfvo type="num" val="60"/>
      </iconSet>
    </cfRule>
  </conditionalFormatting>
  <conditionalFormatting sqref="R95">
    <cfRule type="iconSet" priority="72">
      <iconSet iconSet="3Symbols">
        <cfvo type="percent" val="0"/>
        <cfvo type="num" val="0"/>
        <cfvo type="num" val="60"/>
      </iconSet>
    </cfRule>
  </conditionalFormatting>
  <conditionalFormatting sqref="R96">
    <cfRule type="iconSet" priority="73">
      <iconSet iconSet="3Symbols">
        <cfvo type="percent" val="0"/>
        <cfvo type="num" val="0"/>
        <cfvo type="num" val="60"/>
      </iconSet>
    </cfRule>
  </conditionalFormatting>
  <conditionalFormatting sqref="R97">
    <cfRule type="iconSet" priority="74">
      <iconSet iconSet="3Symbols">
        <cfvo type="percent" val="0"/>
        <cfvo type="num" val="0"/>
        <cfvo type="num" val="60"/>
      </iconSet>
    </cfRule>
  </conditionalFormatting>
  <conditionalFormatting sqref="R98">
    <cfRule type="iconSet" priority="75">
      <iconSet iconSet="3Symbols">
        <cfvo type="percent" val="0"/>
        <cfvo type="num" val="0"/>
        <cfvo type="num" val="60"/>
      </iconSet>
    </cfRule>
  </conditionalFormatting>
  <conditionalFormatting sqref="R99">
    <cfRule type="iconSet" priority="76">
      <iconSet iconSet="3Symbols">
        <cfvo type="percent" val="0"/>
        <cfvo type="num" val="0"/>
        <cfvo type="num" val="60"/>
      </iconSet>
    </cfRule>
  </conditionalFormatting>
  <conditionalFormatting sqref="R100">
    <cfRule type="iconSet" priority="77">
      <iconSet iconSet="3Symbols">
        <cfvo type="percent" val="0"/>
        <cfvo type="num" val="0"/>
        <cfvo type="num" val="60"/>
      </iconSet>
    </cfRule>
  </conditionalFormatting>
  <conditionalFormatting sqref="R101">
    <cfRule type="iconSet" priority="78">
      <iconSet iconSet="3Symbols">
        <cfvo type="percent" val="0"/>
        <cfvo type="num" val="0"/>
        <cfvo type="num" val="60"/>
      </iconSet>
    </cfRule>
  </conditionalFormatting>
  <conditionalFormatting sqref="R102">
    <cfRule type="iconSet" priority="79">
      <iconSet iconSet="3Symbols">
        <cfvo type="percent" val="0"/>
        <cfvo type="num" val="0"/>
        <cfvo type="num" val="60"/>
      </iconSet>
    </cfRule>
  </conditionalFormatting>
  <conditionalFormatting sqref="R103">
    <cfRule type="iconSet" priority="80">
      <iconSet iconSet="3Symbols">
        <cfvo type="percent" val="0"/>
        <cfvo type="num" val="0"/>
        <cfvo type="num" val="60"/>
      </iconSet>
    </cfRule>
  </conditionalFormatting>
  <conditionalFormatting sqref="R104">
    <cfRule type="iconSet" priority="81">
      <iconSet iconSet="3Symbols">
        <cfvo type="percent" val="0"/>
        <cfvo type="num" val="0"/>
        <cfvo type="num" val="60"/>
      </iconSet>
    </cfRule>
  </conditionalFormatting>
  <conditionalFormatting sqref="R105">
    <cfRule type="iconSet" priority="82">
      <iconSet iconSet="3Symbols">
        <cfvo type="percent" val="0"/>
        <cfvo type="num" val="0"/>
        <cfvo type="num" val="60"/>
      </iconSet>
    </cfRule>
  </conditionalFormatting>
  <conditionalFormatting sqref="R106">
    <cfRule type="iconSet" priority="83">
      <iconSet iconSet="3Symbols">
        <cfvo type="percent" val="0"/>
        <cfvo type="num" val="0"/>
        <cfvo type="num" val="60"/>
      </iconSet>
    </cfRule>
  </conditionalFormatting>
  <conditionalFormatting sqref="R107">
    <cfRule type="iconSet" priority="84">
      <iconSet iconSet="3Symbols">
        <cfvo type="percent" val="0"/>
        <cfvo type="num" val="0"/>
        <cfvo type="num" val="60"/>
      </iconSet>
    </cfRule>
  </conditionalFormatting>
  <conditionalFormatting sqref="R108">
    <cfRule type="iconSet" priority="85">
      <iconSet iconSet="3Symbols">
        <cfvo type="percent" val="0"/>
        <cfvo type="num" val="0"/>
        <cfvo type="num" val="60"/>
      </iconSet>
    </cfRule>
  </conditionalFormatting>
  <conditionalFormatting sqref="R109">
    <cfRule type="iconSet" priority="86">
      <iconSet iconSet="3Symbols">
        <cfvo type="percent" val="0"/>
        <cfvo type="num" val="0"/>
        <cfvo type="num" val="60"/>
      </iconSet>
    </cfRule>
  </conditionalFormatting>
  <conditionalFormatting sqref="R110">
    <cfRule type="iconSet" priority="87">
      <iconSet iconSet="3Symbols">
        <cfvo type="percent" val="0"/>
        <cfvo type="num" val="0"/>
        <cfvo type="num" val="60"/>
      </iconSet>
    </cfRule>
  </conditionalFormatting>
  <conditionalFormatting sqref="R111">
    <cfRule type="iconSet" priority="88">
      <iconSet iconSet="3Symbols">
        <cfvo type="percent" val="0"/>
        <cfvo type="num" val="0"/>
        <cfvo type="num" val="60"/>
      </iconSet>
    </cfRule>
  </conditionalFormatting>
  <conditionalFormatting sqref="R112">
    <cfRule type="iconSet" priority="89">
      <iconSet iconSet="3Symbols">
        <cfvo type="percent" val="0"/>
        <cfvo type="num" val="0"/>
        <cfvo type="num" val="60"/>
      </iconSet>
    </cfRule>
  </conditionalFormatting>
  <conditionalFormatting sqref="R113">
    <cfRule type="iconSet" priority="90">
      <iconSet iconSet="3Symbols">
        <cfvo type="percent" val="0"/>
        <cfvo type="num" val="0"/>
        <cfvo type="num" val="60"/>
      </iconSet>
    </cfRule>
  </conditionalFormatting>
  <conditionalFormatting sqref="R114">
    <cfRule type="iconSet" priority="91">
      <iconSet iconSet="3Symbols">
        <cfvo type="percent" val="0"/>
        <cfvo type="num" val="0"/>
        <cfvo type="num" val="60"/>
      </iconSet>
    </cfRule>
  </conditionalFormatting>
  <conditionalFormatting sqref="R115:R116">
    <cfRule type="iconSet" priority="92">
      <iconSet iconSet="3Symbols">
        <cfvo type="percent" val="0"/>
        <cfvo type="num" val="0"/>
        <cfvo type="num" val="60"/>
      </iconSet>
    </cfRule>
  </conditionalFormatting>
  <conditionalFormatting sqref="R91:S91">
    <cfRule type="iconSet" priority="93">
      <iconSet iconSet="3Symbols">
        <cfvo type="percent" val="0"/>
        <cfvo type="num" val="0"/>
        <cfvo type="num" val="60"/>
      </iconSet>
    </cfRule>
  </conditionalFormatting>
  <conditionalFormatting sqref="S4:S113 N4:N116 R114 S115:S116">
    <cfRule type="containsText" dxfId="60" priority="94" operator="containsText" text="VIGENTE">
      <formula>NOT(ISERROR(SEARCH("VIGENTE",N4)))</formula>
    </cfRule>
    <cfRule type="containsText" dxfId="59" priority="95" operator="containsText" text="ADITAR">
      <formula>NOT(ISERROR(SEARCH("ADITAR",N4)))</formula>
    </cfRule>
    <cfRule type="containsText" dxfId="58" priority="96" operator="containsText" text="EXPIRADO">
      <formula>NOT(ISERROR(SEARCH("EXPIRADO",N4)))</formula>
    </cfRule>
  </conditionalFormatting>
  <conditionalFormatting sqref="S5">
    <cfRule type="iconSet" priority="97">
      <iconSet iconSet="3Symbols">
        <cfvo type="percent" val="0"/>
        <cfvo type="num" val="0"/>
        <cfvo type="num" val="60"/>
      </iconSet>
    </cfRule>
  </conditionalFormatting>
  <conditionalFormatting sqref="S13">
    <cfRule type="iconSet" priority="98">
      <iconSet iconSet="3Symbols">
        <cfvo type="percent" val="0"/>
        <cfvo type="num" val="0"/>
        <cfvo type="num" val="60"/>
      </iconSet>
    </cfRule>
  </conditionalFormatting>
  <conditionalFormatting sqref="S46">
    <cfRule type="iconSet" priority="99">
      <iconSet iconSet="3Symbols">
        <cfvo type="percent" val="0"/>
        <cfvo type="num" val="0"/>
        <cfvo type="num" val="60"/>
      </iconSet>
    </cfRule>
  </conditionalFormatting>
  <conditionalFormatting sqref="S50">
    <cfRule type="iconSet" priority="100">
      <iconSet iconSet="3Symbols">
        <cfvo type="percent" val="0"/>
        <cfvo type="num" val="0"/>
        <cfvo type="num" val="60"/>
      </iconSet>
    </cfRule>
  </conditionalFormatting>
  <conditionalFormatting sqref="S88">
    <cfRule type="iconSet" priority="101">
      <iconSet iconSet="3Symbols">
        <cfvo type="percent" val="0"/>
        <cfvo type="num" val="0"/>
        <cfvo type="num" val="60"/>
      </iconSet>
    </cfRule>
  </conditionalFormatting>
  <conditionalFormatting sqref="S89:S90 S47:S49 S4 S14:S45 S51:S87 S6:S12">
    <cfRule type="iconSet" priority="102">
      <iconSet iconSet="3Symbols">
        <cfvo type="percent" val="0"/>
        <cfvo type="num" val="0"/>
        <cfvo type="num" val="60"/>
      </iconSet>
    </cfRule>
  </conditionalFormatting>
  <conditionalFormatting sqref="S92">
    <cfRule type="iconSet" priority="103">
      <iconSet iconSet="3Symbols">
        <cfvo type="percent" val="0"/>
        <cfvo type="num" val="0"/>
        <cfvo type="num" val="60"/>
      </iconSet>
    </cfRule>
  </conditionalFormatting>
  <conditionalFormatting sqref="S93">
    <cfRule type="iconSet" priority="104">
      <iconSet iconSet="3Symbols">
        <cfvo type="percent" val="0"/>
        <cfvo type="num" val="0"/>
        <cfvo type="num" val="60"/>
      </iconSet>
    </cfRule>
  </conditionalFormatting>
  <conditionalFormatting sqref="S94">
    <cfRule type="iconSet" priority="105">
      <iconSet iconSet="3Symbols">
        <cfvo type="percent" val="0"/>
        <cfvo type="num" val="0"/>
        <cfvo type="num" val="60"/>
      </iconSet>
    </cfRule>
  </conditionalFormatting>
  <conditionalFormatting sqref="S95">
    <cfRule type="iconSet" priority="106">
      <iconSet iconSet="3Symbols">
        <cfvo type="percent" val="0"/>
        <cfvo type="num" val="0"/>
        <cfvo type="num" val="60"/>
      </iconSet>
    </cfRule>
  </conditionalFormatting>
  <conditionalFormatting sqref="S96">
    <cfRule type="iconSet" priority="107">
      <iconSet iconSet="3Symbols">
        <cfvo type="percent" val="0"/>
        <cfvo type="num" val="0"/>
        <cfvo type="num" val="60"/>
      </iconSet>
    </cfRule>
  </conditionalFormatting>
  <conditionalFormatting sqref="S97">
    <cfRule type="iconSet" priority="108">
      <iconSet iconSet="3Symbols">
        <cfvo type="percent" val="0"/>
        <cfvo type="num" val="0"/>
        <cfvo type="num" val="60"/>
      </iconSet>
    </cfRule>
  </conditionalFormatting>
  <conditionalFormatting sqref="S98">
    <cfRule type="iconSet" priority="109">
      <iconSet iconSet="3Symbols">
        <cfvo type="percent" val="0"/>
        <cfvo type="num" val="0"/>
        <cfvo type="num" val="60"/>
      </iconSet>
    </cfRule>
  </conditionalFormatting>
  <conditionalFormatting sqref="S99">
    <cfRule type="iconSet" priority="110">
      <iconSet iconSet="3Symbols">
        <cfvo type="percent" val="0"/>
        <cfvo type="num" val="0"/>
        <cfvo type="num" val="60"/>
      </iconSet>
    </cfRule>
  </conditionalFormatting>
  <conditionalFormatting sqref="S100">
    <cfRule type="iconSet" priority="111">
      <iconSet iconSet="3Symbols">
        <cfvo type="percent" val="0"/>
        <cfvo type="num" val="0"/>
        <cfvo type="num" val="60"/>
      </iconSet>
    </cfRule>
  </conditionalFormatting>
  <conditionalFormatting sqref="S101">
    <cfRule type="iconSet" priority="112">
      <iconSet iconSet="3Symbols">
        <cfvo type="percent" val="0"/>
        <cfvo type="num" val="0"/>
        <cfvo type="num" val="60"/>
      </iconSet>
    </cfRule>
  </conditionalFormatting>
  <conditionalFormatting sqref="S102">
    <cfRule type="iconSet" priority="113">
      <iconSet iconSet="3Symbols">
        <cfvo type="percent" val="0"/>
        <cfvo type="num" val="0"/>
        <cfvo type="num" val="60"/>
      </iconSet>
    </cfRule>
  </conditionalFormatting>
  <conditionalFormatting sqref="S103">
    <cfRule type="iconSet" priority="114">
      <iconSet iconSet="3Symbols">
        <cfvo type="percent" val="0"/>
        <cfvo type="num" val="0"/>
        <cfvo type="num" val="60"/>
      </iconSet>
    </cfRule>
  </conditionalFormatting>
  <conditionalFormatting sqref="S104">
    <cfRule type="iconSet" priority="115">
      <iconSet iconSet="3Symbols">
        <cfvo type="percent" val="0"/>
        <cfvo type="num" val="0"/>
        <cfvo type="num" val="60"/>
      </iconSet>
    </cfRule>
  </conditionalFormatting>
  <conditionalFormatting sqref="S105">
    <cfRule type="iconSet" priority="116">
      <iconSet iconSet="3Symbols">
        <cfvo type="percent" val="0"/>
        <cfvo type="num" val="0"/>
        <cfvo type="num" val="60"/>
      </iconSet>
    </cfRule>
  </conditionalFormatting>
  <conditionalFormatting sqref="S106">
    <cfRule type="iconSet" priority="117">
      <iconSet iconSet="3Symbols">
        <cfvo type="percent" val="0"/>
        <cfvo type="num" val="0"/>
        <cfvo type="num" val="60"/>
      </iconSet>
    </cfRule>
  </conditionalFormatting>
  <conditionalFormatting sqref="S107">
    <cfRule type="iconSet" priority="118">
      <iconSet iconSet="3Symbols">
        <cfvo type="percent" val="0"/>
        <cfvo type="num" val="0"/>
        <cfvo type="num" val="60"/>
      </iconSet>
    </cfRule>
  </conditionalFormatting>
  <conditionalFormatting sqref="S108">
    <cfRule type="iconSet" priority="119">
      <iconSet iconSet="3Symbols">
        <cfvo type="percent" val="0"/>
        <cfvo type="num" val="0"/>
        <cfvo type="num" val="60"/>
      </iconSet>
    </cfRule>
  </conditionalFormatting>
  <conditionalFormatting sqref="S109">
    <cfRule type="iconSet" priority="120">
      <iconSet iconSet="3Symbols">
        <cfvo type="percent" val="0"/>
        <cfvo type="num" val="0"/>
        <cfvo type="num" val="60"/>
      </iconSet>
    </cfRule>
  </conditionalFormatting>
  <conditionalFormatting sqref="S110">
    <cfRule type="iconSet" priority="121">
      <iconSet iconSet="3Symbols">
        <cfvo type="percent" val="0"/>
        <cfvo type="num" val="0"/>
        <cfvo type="num" val="60"/>
      </iconSet>
    </cfRule>
  </conditionalFormatting>
  <conditionalFormatting sqref="S111">
    <cfRule type="iconSet" priority="122">
      <iconSet iconSet="3Symbols">
        <cfvo type="percent" val="0"/>
        <cfvo type="num" val="0"/>
        <cfvo type="num" val="60"/>
      </iconSet>
    </cfRule>
  </conditionalFormatting>
  <conditionalFormatting sqref="S112">
    <cfRule type="iconSet" priority="123">
      <iconSet iconSet="3Symbols">
        <cfvo type="percent" val="0"/>
        <cfvo type="num" val="0"/>
        <cfvo type="num" val="60"/>
      </iconSet>
    </cfRule>
  </conditionalFormatting>
  <conditionalFormatting sqref="S113">
    <cfRule type="iconSet" priority="124">
      <iconSet iconSet="3Symbols">
        <cfvo type="percent" val="0"/>
        <cfvo type="num" val="0"/>
        <cfvo type="num" val="60"/>
      </iconSet>
    </cfRule>
  </conditionalFormatting>
  <conditionalFormatting sqref="S115:S116">
    <cfRule type="iconSet" priority="125">
      <iconSet iconSet="3Symbols">
        <cfvo type="percent" val="0"/>
        <cfvo type="num" val="0"/>
        <cfvo type="num" val="60"/>
      </iconSet>
    </cfRule>
  </conditionalFormatting>
  <conditionalFormatting sqref="AF4:AF116">
    <cfRule type="cellIs" dxfId="57" priority="128" operator="equal">
      <formula>"ADITIVO - ASSINATURA"</formula>
    </cfRule>
    <cfRule type="cellIs" dxfId="56" priority="129" operator="equal">
      <formula>"FINALIZADO"</formula>
    </cfRule>
    <cfRule type="cellIs" dxfId="55" priority="130" operator="equal">
      <formula>"ADITIVO - SULIC"</formula>
    </cfRule>
    <cfRule type="cellIs" dxfId="54" priority="131" operator="equal">
      <formula>"ADITIVO - PARECER JURÍDICO"</formula>
    </cfRule>
    <cfRule type="cellIs" dxfId="53" priority="132" operator="equal">
      <formula>"ADITIVO - PARECER JURÍDICO"</formula>
    </cfRule>
    <cfRule type="cellIs" dxfId="52" priority="133" operator="equal">
      <formula>"MEDIÇÕES"</formula>
    </cfRule>
    <cfRule type="cellIs" dxfId="51" priority="134" operator="equal">
      <formula>"MEDIÇÕES"</formula>
    </cfRule>
    <cfRule type="cellIs" dxfId="50" priority="126" operator="equal">
      <formula>"PARALISADO"</formula>
    </cfRule>
    <cfRule type="cellIs" dxfId="49" priority="127" operator="equal">
      <formula>"ASSINATURA"</formula>
    </cfRule>
  </conditionalFormatting>
  <conditionalFormatting sqref="AF29">
    <cfRule type="cellIs" dxfId="48" priority="135" operator="equal">
      <formula>"ADITIVO - PARECER JURÍDICO"</formula>
    </cfRule>
    <cfRule type="cellIs" dxfId="47" priority="136" operator="equal">
      <formula>"ADITIVO - PARECER JURÍDICO"</formula>
    </cfRule>
    <cfRule type="cellIs" dxfId="46" priority="137" operator="equal">
      <formula>"MEDIÇÕES"</formula>
    </cfRule>
    <cfRule type="cellIs" dxfId="45" priority="138" operator="equal">
      <formula>"MEDIÇÕES"</formula>
    </cfRule>
    <cfRule type="cellIs" dxfId="44" priority="139" operator="equal">
      <formula>"ADITIVO - PARECER JURÍDICO"</formula>
    </cfRule>
    <cfRule type="cellIs" dxfId="43" priority="140" operator="equal">
      <formula>"ADITIVO - PARECER JURÍDICO"</formula>
    </cfRule>
    <cfRule type="cellIs" dxfId="42" priority="141" operator="equal">
      <formula>"MEDIÇÕES"</formula>
    </cfRule>
    <cfRule type="cellIs" dxfId="41" priority="142" operator="equal">
      <formula>"MEDIÇÕES"</formula>
    </cfRule>
    <cfRule type="colorScale" priority="144">
      <colorScale>
        <cfvo type="min"/>
        <cfvo type="max"/>
        <color rgb="FFFF7128"/>
        <color rgb="FFFFEF9C"/>
      </colorScale>
    </cfRule>
    <cfRule type="colorScale" priority="143">
      <colorScale>
        <cfvo type="min"/>
        <cfvo type="max"/>
        <color rgb="FFFF7128"/>
        <color rgb="FFFFEF9C"/>
      </colorScale>
    </cfRule>
  </conditionalFormatting>
  <conditionalFormatting sqref="AF46">
    <cfRule type="colorScale" priority="145">
      <colorScale>
        <cfvo type="min"/>
        <cfvo type="max"/>
        <color rgb="FFFF7128"/>
        <color rgb="FFFFEF9C"/>
      </colorScale>
    </cfRule>
  </conditionalFormatting>
  <conditionalFormatting sqref="AF47:AF49 AF4:AF45 AF51:AF102">
    <cfRule type="colorScale" priority="146">
      <colorScale>
        <cfvo type="min"/>
        <cfvo type="max"/>
        <color rgb="FFFF7128"/>
        <color rgb="FFFFEF9C"/>
      </colorScale>
    </cfRule>
  </conditionalFormatting>
  <conditionalFormatting sqref="AF50">
    <cfRule type="colorScale" priority="147">
      <colorScale>
        <cfvo type="min"/>
        <cfvo type="max"/>
        <color rgb="FFFF7128"/>
        <color rgb="FFFFEF9C"/>
      </colorScale>
    </cfRule>
  </conditionalFormatting>
  <conditionalFormatting sqref="AF103:AF116">
    <cfRule type="colorScale" priority="148">
      <colorScale>
        <cfvo type="min"/>
        <cfvo type="max"/>
        <color rgb="FFFF7128"/>
        <color rgb="FFFFEF9C"/>
      </colorScale>
    </cfRule>
  </conditionalFormatting>
  <conditionalFormatting sqref="AF4:AG49 AF50:AF116 AG51:AG60 AG62 AG65 AG67:AG116">
    <cfRule type="cellIs" dxfId="40" priority="149" operator="equal">
      <formula>"(01) ASSINATURA"</formula>
    </cfRule>
    <cfRule type="cellIs" dxfId="39" priority="150" operator="equal">
      <formula>"(02) PUBLICAÇÃO"</formula>
    </cfRule>
    <cfRule type="cellIs" dxfId="38" priority="151" operator="equal">
      <formula>"(03) FISCAL"</formula>
    </cfRule>
    <cfRule type="cellIs" dxfId="37" priority="152" operator="equal">
      <formula>"(04) ORDEM DE EXECUÇÃO"</formula>
    </cfRule>
    <cfRule type="cellIs" dxfId="36" priority="153" operator="equal">
      <formula>"(05) MEDIÇÕES"</formula>
    </cfRule>
    <cfRule type="cellIs" dxfId="35" priority="155" operator="equal">
      <formula>"(07) ADITIVO - MONTAGEM"</formula>
    </cfRule>
    <cfRule type="cellIs" dxfId="34" priority="156" operator="equal">
      <formula>"(08) ADITIVO - PARECER JURÍDICO"</formula>
    </cfRule>
    <cfRule type="cellIs" dxfId="33" priority="157" operator="equal">
      <formula>"(09) ADITIVO - CG"</formula>
    </cfRule>
    <cfRule type="cellIs" dxfId="32" priority="158" operator="equal">
      <formula>"(10) ADITIVO - DSLC"</formula>
    </cfRule>
    <cfRule type="cellIs" dxfId="31" priority="159" operator="equal">
      <formula>"(11) ADITIVO - ASSINATURA"</formula>
    </cfRule>
    <cfRule type="cellIs" dxfId="30" priority="160" operator="equal">
      <formula>"(12) ADITIVO - PUBLICAÇÃO"</formula>
    </cfRule>
    <cfRule type="cellIs" dxfId="29" priority="161" operator="equal">
      <formula>"(13) FINALIZADO"</formula>
    </cfRule>
    <cfRule type="cellIs" dxfId="28" priority="154" operator="equal">
      <formula>"(06) PARALISADO"</formula>
    </cfRule>
  </conditionalFormatting>
  <dataValidations count="1">
    <dataValidation showDropDown="1" showInputMessage="1" showErrorMessage="1" sqref="J4:J49 J51:J92 J94:J116" xr:uid="{00000000-0002-0000-0000-000001000000}">
      <formula1>0</formula1>
      <formula2>0</formula2>
    </dataValidation>
  </dataValidations>
  <printOptions horizontalCentered="1" verticalCentered="1"/>
  <pageMargins left="0.23611111111111099" right="0.23611111111111099" top="0.74791666666666701" bottom="0.74791666666666701" header="0.511811023622047" footer="0.511811023622047"/>
  <pageSetup paperSize="8" scale="65" orientation="landscape" horizontalDpi="300" verticalDpi="300"/>
  <legacyDrawing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'LISTAS SUSPENSAS'!$C$20:$C$23</xm:f>
          </x14:formula1>
          <x14:formula2>
            <xm:f>0</xm:f>
          </x14:formula2>
          <xm:sqref>B4:B92 B94:B116</xm:sqref>
        </x14:dataValidation>
        <x14:dataValidation type="list" allowBlank="1" showInputMessage="1" showErrorMessage="1" xr:uid="{00000000-0002-0000-0000-000002000000}">
          <x14:formula1>
            <xm:f>'LISTAS SUSPENSAS'!$E$10:$E$114</xm:f>
          </x14:formula1>
          <x14:formula2>
            <xm:f>0</xm:f>
          </x14:formula2>
          <xm:sqref>AB4:AE116</xm:sqref>
        </x14:dataValidation>
        <x14:dataValidation type="list" allowBlank="1" xr:uid="{00000000-0002-0000-0000-000003000000}">
          <x14:formula1>
            <xm:f>'LISTAS SUSPENSAS'!$E$2:$E$7</xm:f>
          </x14:formula1>
          <x14:formula2>
            <xm:f>0</xm:f>
          </x14:formula2>
          <xm:sqref>AM5 AM7:AM8 AM12 AM14:AM28 AM30:AM49 AM51:AM116</xm:sqref>
        </x14:dataValidation>
        <x14:dataValidation type="list" allowBlank="1" xr:uid="{00000000-0002-0000-0000-000004000000}">
          <x14:formula1>
            <xm:f>'LISTAS SUSPENSAS'!$E$2:$E$8</xm:f>
          </x14:formula1>
          <x14:formula2>
            <xm:f>0</xm:f>
          </x14:formula2>
          <xm:sqref>AM4 AM6 AM9:AM11 AM13 AM29 G50</xm:sqref>
        </x14:dataValidation>
        <x14:dataValidation type="list" allowBlank="1" showInputMessage="1" showErrorMessage="1" xr:uid="{00000000-0002-0000-0000-000005000000}">
          <x14:formula1>
            <xm:f>'LISTAS SUSPENSAS'!$C$20:$C$25</xm:f>
          </x14:formula1>
          <x14:formula2>
            <xm:f>0</xm:f>
          </x14:formula2>
          <xm:sqref>B1048430:C1048576</xm:sqref>
        </x14:dataValidation>
        <x14:dataValidation type="list" allowBlank="1" showInputMessage="1" showErrorMessage="1" xr:uid="{00000000-0002-0000-0000-000006000000}">
          <x14:formula1>
            <xm:f>'LISTAS SUSPENSAS'!$E$10:$E$59</xm:f>
          </x14:formula1>
          <x14:formula2>
            <xm:f>0</xm:f>
          </x14:formula2>
          <xm:sqref>AD1048430:AF1048576</xm:sqref>
        </x14:dataValidation>
        <x14:dataValidation type="list" allowBlank="1" showErrorMessage="1" xr:uid="{00000000-0002-0000-0000-000007000000}">
          <x14:formula1>
            <xm:f>'LISTAS SUSPENSAS'!$A$2:$A$20</xm:f>
          </x14:formula1>
          <x14:formula2>
            <xm:f>0</xm:f>
          </x14:formula2>
          <xm:sqref>AF4:AF116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D7D31"/>
  </sheetPr>
  <dimension ref="A1:AMJ355"/>
  <sheetViews>
    <sheetView zoomScale="120" zoomScaleNormal="120" workbookViewId="0">
      <pane xSplit="2" topLeftCell="C1" activePane="topRight" state="frozen"/>
      <selection pane="topRight" activeCell="A13" sqref="A13"/>
    </sheetView>
  </sheetViews>
  <sheetFormatPr defaultColWidth="14.42578125" defaultRowHeight="15" x14ac:dyDescent="0.25"/>
  <cols>
    <col min="1" max="1" width="4.5703125" style="73" customWidth="1"/>
    <col min="2" max="2" width="11.85546875" style="73" customWidth="1"/>
    <col min="3" max="3" width="34.42578125" style="73" customWidth="1"/>
    <col min="4" max="4" width="54" style="73" customWidth="1"/>
    <col min="5" max="5" width="28.28515625" style="73" customWidth="1"/>
    <col min="6" max="7" width="11.7109375" style="73" customWidth="1"/>
    <col min="8" max="9" width="12.85546875" style="73" customWidth="1"/>
    <col min="10" max="10" width="16.5703125" style="73" customWidth="1"/>
    <col min="11" max="11" width="18.28515625" style="73" customWidth="1"/>
    <col min="12" max="12" width="18.7109375" style="73" customWidth="1"/>
    <col min="13" max="13" width="100.7109375" style="73" customWidth="1"/>
    <col min="14" max="1024" width="14.42578125" style="73"/>
  </cols>
  <sheetData>
    <row r="1" spans="1:13" ht="15.75" x14ac:dyDescent="0.25">
      <c r="B1" s="74" t="s">
        <v>583</v>
      </c>
      <c r="C1" s="74"/>
      <c r="D1" s="74"/>
      <c r="E1" s="74"/>
      <c r="F1" s="74"/>
      <c r="G1" s="74"/>
      <c r="H1" s="74"/>
      <c r="I1" s="74"/>
      <c r="J1" s="74"/>
      <c r="K1" s="74"/>
      <c r="L1" s="74"/>
      <c r="M1" s="74"/>
    </row>
    <row r="2" spans="1:13" ht="15.75" customHeight="1" x14ac:dyDescent="0.25">
      <c r="B2" s="10" t="s">
        <v>1</v>
      </c>
      <c r="C2" s="10"/>
      <c r="D2" s="10" t="s">
        <v>584</v>
      </c>
      <c r="E2" s="10"/>
      <c r="F2" s="10" t="s">
        <v>2</v>
      </c>
      <c r="G2" s="10"/>
      <c r="H2" s="75"/>
      <c r="I2" s="75"/>
      <c r="J2" s="75" t="s">
        <v>3</v>
      </c>
      <c r="K2" s="75"/>
      <c r="L2" s="74"/>
      <c r="M2" s="74"/>
    </row>
    <row r="3" spans="1:13" ht="22.5" x14ac:dyDescent="0.25">
      <c r="A3" s="18" t="s">
        <v>585</v>
      </c>
      <c r="B3" s="18" t="s">
        <v>586</v>
      </c>
      <c r="C3" s="76" t="s">
        <v>587</v>
      </c>
      <c r="D3" s="18" t="s">
        <v>588</v>
      </c>
      <c r="E3" s="18" t="s">
        <v>7</v>
      </c>
      <c r="F3" s="18" t="s">
        <v>43</v>
      </c>
      <c r="G3" s="76" t="s">
        <v>589</v>
      </c>
      <c r="H3" s="18" t="s">
        <v>590</v>
      </c>
      <c r="I3" s="76" t="s">
        <v>567</v>
      </c>
      <c r="J3" s="18" t="s">
        <v>591</v>
      </c>
      <c r="K3" s="76" t="s">
        <v>592</v>
      </c>
      <c r="L3" s="77" t="s">
        <v>32</v>
      </c>
      <c r="M3" s="18" t="s">
        <v>44</v>
      </c>
    </row>
    <row r="4" spans="1:13" ht="22.5" x14ac:dyDescent="0.25">
      <c r="A4" s="78">
        <v>1</v>
      </c>
      <c r="B4" s="79" t="s">
        <v>593</v>
      </c>
      <c r="C4" s="80" t="s">
        <v>594</v>
      </c>
      <c r="D4" s="81" t="s">
        <v>595</v>
      </c>
      <c r="E4" s="80" t="s">
        <v>596</v>
      </c>
      <c r="F4" s="80"/>
      <c r="G4" s="82">
        <v>45010</v>
      </c>
      <c r="H4" s="83">
        <f t="shared" ref="H4:H17" ca="1" si="0">IF(G4="","",G4-TODAY())</f>
        <v>-173</v>
      </c>
      <c r="I4" s="80" t="s">
        <v>597</v>
      </c>
      <c r="J4" s="84">
        <v>77750</v>
      </c>
      <c r="K4" s="84">
        <v>27392.6</v>
      </c>
      <c r="L4" s="84">
        <v>0.65</v>
      </c>
      <c r="M4" s="80"/>
    </row>
    <row r="5" spans="1:13" ht="33.75" x14ac:dyDescent="0.25">
      <c r="A5" s="78">
        <v>2</v>
      </c>
      <c r="B5" s="79" t="s">
        <v>598</v>
      </c>
      <c r="C5" s="80" t="s">
        <v>599</v>
      </c>
      <c r="D5" s="81" t="s">
        <v>600</v>
      </c>
      <c r="E5" s="80" t="s">
        <v>596</v>
      </c>
      <c r="F5" s="80"/>
      <c r="G5" s="82">
        <v>44927</v>
      </c>
      <c r="H5" s="83">
        <f t="shared" ca="1" si="0"/>
        <v>-256</v>
      </c>
      <c r="I5" s="80" t="s">
        <v>72</v>
      </c>
      <c r="J5" s="84">
        <v>713999.99</v>
      </c>
      <c r="K5" s="84">
        <v>631262.02</v>
      </c>
      <c r="L5" s="84">
        <v>0.12</v>
      </c>
      <c r="M5" s="85"/>
    </row>
    <row r="6" spans="1:13" ht="56.25" x14ac:dyDescent="0.25">
      <c r="A6" s="78">
        <v>3</v>
      </c>
      <c r="B6" s="79" t="s">
        <v>601</v>
      </c>
      <c r="C6" s="80" t="s">
        <v>602</v>
      </c>
      <c r="D6" s="81" t="s">
        <v>603</v>
      </c>
      <c r="E6" s="80" t="s">
        <v>596</v>
      </c>
      <c r="F6" s="80"/>
      <c r="G6" s="82">
        <v>44926</v>
      </c>
      <c r="H6" s="83">
        <f t="shared" ca="1" si="0"/>
        <v>-257</v>
      </c>
      <c r="I6" s="80" t="s">
        <v>72</v>
      </c>
      <c r="J6" s="84">
        <v>200000</v>
      </c>
      <c r="K6" s="84">
        <v>52066.52</v>
      </c>
      <c r="L6" s="84">
        <v>0.74</v>
      </c>
      <c r="M6" s="85"/>
    </row>
    <row r="7" spans="1:13" ht="67.5" x14ac:dyDescent="0.25">
      <c r="A7" s="78">
        <v>4</v>
      </c>
      <c r="B7" s="79" t="s">
        <v>604</v>
      </c>
      <c r="C7" s="80" t="s">
        <v>605</v>
      </c>
      <c r="D7" s="81" t="s">
        <v>606</v>
      </c>
      <c r="E7" s="80" t="s">
        <v>596</v>
      </c>
      <c r="F7" s="80"/>
      <c r="G7" s="82">
        <v>45230</v>
      </c>
      <c r="H7" s="83">
        <f t="shared" ca="1" si="0"/>
        <v>47</v>
      </c>
      <c r="I7" s="80" t="s">
        <v>187</v>
      </c>
      <c r="J7" s="84">
        <v>869766.25</v>
      </c>
      <c r="K7" s="84">
        <v>869766.25</v>
      </c>
      <c r="L7" s="84">
        <v>0</v>
      </c>
      <c r="M7" s="85"/>
    </row>
    <row r="8" spans="1:13" ht="22.5" x14ac:dyDescent="0.25">
      <c r="A8" s="78">
        <v>5</v>
      </c>
      <c r="B8" s="79" t="s">
        <v>607</v>
      </c>
      <c r="C8" s="80" t="s">
        <v>608</v>
      </c>
      <c r="D8" s="81" t="s">
        <v>609</v>
      </c>
      <c r="E8" s="80" t="s">
        <v>596</v>
      </c>
      <c r="F8" s="80"/>
      <c r="G8" s="82">
        <v>45247</v>
      </c>
      <c r="H8" s="83">
        <f t="shared" ca="1" si="0"/>
        <v>64</v>
      </c>
      <c r="I8" s="81" t="s">
        <v>610</v>
      </c>
      <c r="J8" s="84">
        <v>11890</v>
      </c>
      <c r="K8" s="84">
        <v>11890</v>
      </c>
      <c r="L8" s="84">
        <v>0</v>
      </c>
      <c r="M8" s="80"/>
    </row>
    <row r="9" spans="1:13" ht="45" x14ac:dyDescent="0.25">
      <c r="A9" s="78">
        <v>6</v>
      </c>
      <c r="B9" s="79" t="s">
        <v>611</v>
      </c>
      <c r="C9" s="80" t="s">
        <v>612</v>
      </c>
      <c r="D9" s="81" t="s">
        <v>613</v>
      </c>
      <c r="E9" s="80" t="s">
        <v>596</v>
      </c>
      <c r="F9" s="80"/>
      <c r="G9" s="82">
        <v>45266</v>
      </c>
      <c r="H9" s="83">
        <f t="shared" ca="1" si="0"/>
        <v>83</v>
      </c>
      <c r="I9" s="80" t="s">
        <v>614</v>
      </c>
      <c r="J9" s="84">
        <v>607725</v>
      </c>
      <c r="K9" s="84">
        <v>607725</v>
      </c>
      <c r="L9" s="84">
        <v>0</v>
      </c>
      <c r="M9" s="85"/>
    </row>
    <row r="10" spans="1:13" ht="33.75" x14ac:dyDescent="0.25">
      <c r="A10" s="78">
        <v>7</v>
      </c>
      <c r="B10" s="79" t="s">
        <v>615</v>
      </c>
      <c r="C10" s="80" t="s">
        <v>616</v>
      </c>
      <c r="D10" s="81" t="s">
        <v>617</v>
      </c>
      <c r="E10" s="80" t="s">
        <v>596</v>
      </c>
      <c r="F10" s="80"/>
      <c r="G10" s="82">
        <v>45334</v>
      </c>
      <c r="H10" s="83">
        <f t="shared" ca="1" si="0"/>
        <v>151</v>
      </c>
      <c r="I10" s="80" t="s">
        <v>618</v>
      </c>
      <c r="J10" s="84">
        <v>74775</v>
      </c>
      <c r="K10" s="84">
        <v>74775</v>
      </c>
      <c r="L10" s="84">
        <v>0</v>
      </c>
      <c r="M10" s="80"/>
    </row>
    <row r="11" spans="1:13" ht="22.5" x14ac:dyDescent="0.25">
      <c r="A11" s="78">
        <v>8</v>
      </c>
      <c r="B11" s="79" t="s">
        <v>619</v>
      </c>
      <c r="C11" s="80" t="s">
        <v>620</v>
      </c>
      <c r="D11" s="81" t="s">
        <v>621</v>
      </c>
      <c r="E11" s="80" t="s">
        <v>596</v>
      </c>
      <c r="F11" s="80"/>
      <c r="G11" s="82">
        <v>45336</v>
      </c>
      <c r="H11" s="83">
        <f t="shared" ca="1" si="0"/>
        <v>153</v>
      </c>
      <c r="I11" s="80" t="s">
        <v>622</v>
      </c>
      <c r="J11" s="84">
        <v>475.8</v>
      </c>
      <c r="K11" s="84">
        <v>475.8</v>
      </c>
      <c r="L11" s="84">
        <v>0</v>
      </c>
      <c r="M11" s="80"/>
    </row>
    <row r="12" spans="1:13" x14ac:dyDescent="0.25">
      <c r="A12" s="78">
        <v>9</v>
      </c>
      <c r="B12" s="79" t="s">
        <v>623</v>
      </c>
      <c r="C12" s="80" t="s">
        <v>624</v>
      </c>
      <c r="D12" s="81" t="s">
        <v>625</v>
      </c>
      <c r="E12" s="80" t="s">
        <v>596</v>
      </c>
      <c r="F12" s="80"/>
      <c r="G12" s="82">
        <v>45336</v>
      </c>
      <c r="H12" s="83">
        <f t="shared" ca="1" si="0"/>
        <v>153</v>
      </c>
      <c r="I12" s="80" t="s">
        <v>597</v>
      </c>
      <c r="J12" s="84">
        <v>12500</v>
      </c>
      <c r="K12" s="84">
        <v>12500</v>
      </c>
      <c r="L12" s="84">
        <v>0</v>
      </c>
      <c r="M12" s="80"/>
    </row>
    <row r="13" spans="1:13" x14ac:dyDescent="0.25">
      <c r="A13" s="78">
        <v>10</v>
      </c>
      <c r="B13" s="79" t="s">
        <v>626</v>
      </c>
      <c r="C13" s="80" t="s">
        <v>627</v>
      </c>
      <c r="D13" s="81" t="s">
        <v>628</v>
      </c>
      <c r="E13" s="80" t="s">
        <v>596</v>
      </c>
      <c r="F13" s="80"/>
      <c r="G13" s="82">
        <v>45335</v>
      </c>
      <c r="H13" s="83">
        <f t="shared" ca="1" si="0"/>
        <v>152</v>
      </c>
      <c r="I13" s="80" t="s">
        <v>597</v>
      </c>
      <c r="J13" s="84">
        <v>1195</v>
      </c>
      <c r="K13" s="84">
        <v>1195</v>
      </c>
      <c r="L13" s="84">
        <v>0</v>
      </c>
      <c r="M13" s="80"/>
    </row>
    <row r="14" spans="1:13" ht="22.5" x14ac:dyDescent="0.25">
      <c r="A14" s="78">
        <v>11</v>
      </c>
      <c r="B14" s="79" t="s">
        <v>629</v>
      </c>
      <c r="C14" s="80" t="s">
        <v>630</v>
      </c>
      <c r="D14" s="81" t="s">
        <v>631</v>
      </c>
      <c r="E14" s="80" t="s">
        <v>596</v>
      </c>
      <c r="F14" s="80"/>
      <c r="G14" s="82">
        <v>45351</v>
      </c>
      <c r="H14" s="83">
        <f t="shared" ca="1" si="0"/>
        <v>168</v>
      </c>
      <c r="I14" s="80" t="s">
        <v>597</v>
      </c>
      <c r="J14" s="84">
        <v>739.6</v>
      </c>
      <c r="K14" s="84">
        <v>736.6</v>
      </c>
      <c r="L14" s="84">
        <v>0</v>
      </c>
      <c r="M14" s="80"/>
    </row>
    <row r="15" spans="1:13" ht="22.5" x14ac:dyDescent="0.25">
      <c r="A15" s="78">
        <v>12</v>
      </c>
      <c r="B15" s="79" t="s">
        <v>632</v>
      </c>
      <c r="C15" s="80" t="s">
        <v>633</v>
      </c>
      <c r="D15" s="81" t="s">
        <v>634</v>
      </c>
      <c r="E15" s="80" t="s">
        <v>468</v>
      </c>
      <c r="F15" s="80"/>
      <c r="G15" s="82">
        <v>44909</v>
      </c>
      <c r="H15" s="83">
        <f t="shared" ca="1" si="0"/>
        <v>-274</v>
      </c>
      <c r="I15" s="80"/>
      <c r="J15" s="84">
        <v>2146000</v>
      </c>
      <c r="K15" s="84">
        <v>0</v>
      </c>
      <c r="L15" s="84">
        <v>0</v>
      </c>
      <c r="M15" s="85" t="s">
        <v>635</v>
      </c>
    </row>
    <row r="16" spans="1:13" ht="22.5" x14ac:dyDescent="0.25">
      <c r="A16" s="78">
        <v>13</v>
      </c>
      <c r="B16" s="79" t="s">
        <v>636</v>
      </c>
      <c r="C16" s="80" t="s">
        <v>637</v>
      </c>
      <c r="D16" s="81" t="s">
        <v>638</v>
      </c>
      <c r="E16" s="80" t="s">
        <v>596</v>
      </c>
      <c r="F16" s="80"/>
      <c r="G16" s="86">
        <v>45449</v>
      </c>
      <c r="H16" s="83">
        <f t="shared" ca="1" si="0"/>
        <v>266</v>
      </c>
      <c r="I16" s="80"/>
      <c r="J16" s="84">
        <v>68250</v>
      </c>
      <c r="K16" s="84">
        <v>0</v>
      </c>
      <c r="L16" s="84">
        <v>0</v>
      </c>
      <c r="M16" s="85"/>
    </row>
    <row r="17" spans="1:13" ht="22.5" x14ac:dyDescent="0.25">
      <c r="A17" s="78">
        <v>14</v>
      </c>
      <c r="B17" s="79" t="s">
        <v>639</v>
      </c>
      <c r="C17" s="80" t="s">
        <v>640</v>
      </c>
      <c r="D17" s="81" t="s">
        <v>641</v>
      </c>
      <c r="E17" s="80" t="s">
        <v>596</v>
      </c>
      <c r="F17" s="80"/>
      <c r="G17" s="82">
        <v>45335</v>
      </c>
      <c r="H17" s="83">
        <f t="shared" ca="1" si="0"/>
        <v>152</v>
      </c>
      <c r="I17" s="80" t="s">
        <v>597</v>
      </c>
      <c r="J17" s="87">
        <v>1480</v>
      </c>
      <c r="K17" s="84">
        <v>0</v>
      </c>
      <c r="L17" s="84">
        <v>0</v>
      </c>
      <c r="M17" s="38"/>
    </row>
    <row r="18" spans="1:13" ht="15.75" customHeight="1" x14ac:dyDescent="0.25"/>
    <row r="19" spans="1:13" ht="15.75" customHeight="1" x14ac:dyDescent="0.25"/>
    <row r="20" spans="1:13" ht="15.75" customHeight="1" x14ac:dyDescent="0.25"/>
    <row r="21" spans="1:13" ht="15.75" customHeight="1" x14ac:dyDescent="0.25"/>
    <row r="22" spans="1:13" ht="15.75" customHeight="1" x14ac:dyDescent="0.25"/>
    <row r="23" spans="1:13" ht="15.75" customHeight="1" x14ac:dyDescent="0.25"/>
    <row r="24" spans="1:13" ht="15.75" customHeight="1" x14ac:dyDescent="0.25"/>
    <row r="25" spans="1:13" ht="15.75" customHeight="1" x14ac:dyDescent="0.25"/>
    <row r="26" spans="1:13" ht="15.75" customHeight="1" x14ac:dyDescent="0.25"/>
    <row r="27" spans="1:13" ht="15.75" customHeight="1" x14ac:dyDescent="0.25"/>
    <row r="28" spans="1:13" ht="15.75" customHeight="1" x14ac:dyDescent="0.25"/>
    <row r="29" spans="1:13" ht="15.75" customHeight="1" x14ac:dyDescent="0.25"/>
    <row r="30" spans="1:13" ht="15.75" customHeight="1" x14ac:dyDescent="0.25"/>
    <row r="31" spans="1:13" ht="15.75" customHeight="1" x14ac:dyDescent="0.25"/>
    <row r="32" spans="1:13"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sheetData>
  <autoFilter ref="B3:M17" xr:uid="{00000000-0009-0000-0000-000001000000}"/>
  <mergeCells count="2">
    <mergeCell ref="B2:E2"/>
    <mergeCell ref="F2:G2"/>
  </mergeCells>
  <conditionalFormatting sqref="E18:E107">
    <cfRule type="cellIs" dxfId="27" priority="2" operator="equal">
      <formula>"(01) ASSINATURA"</formula>
    </cfRule>
    <cfRule type="cellIs" dxfId="26" priority="3" operator="equal">
      <formula>"(02) PUBLICAÇÃO"</formula>
    </cfRule>
    <cfRule type="cellIs" dxfId="25" priority="4" operator="equal">
      <formula>"(03) FISCAL"</formula>
    </cfRule>
    <cfRule type="cellIs" dxfId="24" priority="5" operator="equal">
      <formula>"(04) AUTORIZAÇÃO DE FORNECIMENTO"</formula>
    </cfRule>
    <cfRule type="cellIs" dxfId="23" priority="6" operator="equal">
      <formula>"(05) ADITIVO - MONTAGEM"</formula>
    </cfRule>
    <cfRule type="cellIs" dxfId="22" priority="7" operator="equal">
      <formula>"(06) ADITIVO - PARECER JURÍDICO"</formula>
    </cfRule>
    <cfRule type="cellIs" dxfId="21" priority="8" operator="equal">
      <formula>"(07) ADITIVO - CG"</formula>
    </cfRule>
    <cfRule type="cellIs" dxfId="20" priority="9" operator="equal">
      <formula>"(08) ADITIVO - DSLC"</formula>
    </cfRule>
    <cfRule type="cellIs" dxfId="19" priority="10" operator="equal">
      <formula>"(09) ADITIVO - ASSINATURA"</formula>
    </cfRule>
    <cfRule type="cellIs" dxfId="18" priority="11" operator="equal">
      <formula>"(10) ADITIVO - PUBLICAÇÃO"</formula>
    </cfRule>
    <cfRule type="cellIs" dxfId="17" priority="12" operator="equal">
      <formula>"(11) FINALIZADO"</formula>
    </cfRule>
    <cfRule type="cellIs" dxfId="16" priority="13" operator="equal">
      <formula>"(12) NOVA LICITAÇÃO"</formula>
    </cfRule>
    <cfRule type="cellIs" dxfId="15" priority="14" operator="equal">
      <formula>"(13) ESCLARECIMENTO"</formula>
    </cfRule>
    <cfRule type="cellIs" dxfId="14" priority="15" operator="equal">
      <formula>"(14) CORREÇÃO"</formula>
    </cfRule>
    <cfRule type="expression" dxfId="13" priority="16">
      <formula>LEN(TRIM(E18))&gt;0</formula>
    </cfRule>
  </conditionalFormatting>
  <pageMargins left="0.78749999999999998" right="0.78749999999999998" top="0.51180555555555596" bottom="0.51180555555555596" header="0.511811023622047" footer="0.511811023622047"/>
  <pageSetup paperSize="9" scale="85" orientation="landscape" horizontalDpi="300" verticalDpi="300"/>
  <extLst>
    <ext xmlns:x14="http://schemas.microsoft.com/office/spreadsheetml/2009/9/main" uri="{CCE6A557-97BC-4b89-ADB6-D9C93CAAB3DF}">
      <x14:dataValidations xmlns:xm="http://schemas.microsoft.com/office/excel/2006/main" count="2">
        <x14:dataValidation type="list" allowBlank="1" xr:uid="{00000000-0002-0000-0100-000000000000}">
          <x14:formula1>
            <xm:f>'LISTAS SUSPENSAS'!$E$2:$E$8</xm:f>
          </x14:formula1>
          <x14:formula2>
            <xm:f>0</xm:f>
          </x14:formula2>
          <xm:sqref>F4:F17</xm:sqref>
        </x14:dataValidation>
        <x14:dataValidation type="list" allowBlank="1" showErrorMessage="1" xr:uid="{00000000-0002-0000-0100-000001000000}">
          <x14:formula1>
            <xm:f>'LISTAS SUSPENSAS'!$C$2:$C$17</xm:f>
          </x14:formula1>
          <x14:formula2>
            <xm:f>0</xm:f>
          </x14:formula2>
          <xm:sqref>E4:E17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AMJ1048353"/>
  <sheetViews>
    <sheetView topLeftCell="A20" zoomScale="120" zoomScaleNormal="120" workbookViewId="0">
      <selection activeCell="E33" sqref="E33"/>
    </sheetView>
  </sheetViews>
  <sheetFormatPr defaultColWidth="14.42578125" defaultRowHeight="15" x14ac:dyDescent="0.25"/>
  <cols>
    <col min="1" max="1" width="3.140625" style="88" customWidth="1"/>
    <col min="2" max="2" width="29.28515625" style="88" customWidth="1"/>
    <col min="3" max="3" width="10.7109375" style="88" customWidth="1"/>
    <col min="4" max="4" width="30" style="89" customWidth="1"/>
    <col min="5" max="5" width="30.7109375" style="88" customWidth="1"/>
    <col min="6" max="6" width="12.28515625" style="88" customWidth="1"/>
    <col min="7" max="7" width="10.85546875" style="88" customWidth="1"/>
    <col min="8" max="8" width="12.28515625" style="88" customWidth="1"/>
    <col min="9" max="9" width="15.7109375" style="88" customWidth="1"/>
    <col min="10" max="10" width="12.140625" style="88" customWidth="1"/>
    <col min="11" max="11" width="17.7109375" style="88" customWidth="1"/>
    <col min="12" max="12" width="12.28515625" style="89" customWidth="1"/>
    <col min="13" max="13" width="12.140625" style="88" customWidth="1"/>
    <col min="14" max="14" width="14" style="88" customWidth="1"/>
    <col min="15" max="15" width="16.42578125" style="88" customWidth="1"/>
    <col min="16" max="16" width="12.28515625" style="88" customWidth="1"/>
    <col min="17" max="17" width="12.28515625" style="90" customWidth="1"/>
    <col min="18" max="19" width="14.42578125" style="88"/>
    <col min="20" max="20" width="14.85546875" style="88" customWidth="1"/>
    <col min="21" max="21" width="13.42578125" style="91" customWidth="1"/>
    <col min="22" max="22" width="14.5703125" style="88" customWidth="1"/>
    <col min="23" max="23" width="12.28515625" style="88" customWidth="1"/>
    <col min="24" max="24" width="13.140625" style="92" customWidth="1"/>
    <col min="25" max="28" width="15.28515625" style="88" customWidth="1"/>
    <col min="29" max="29" width="24.7109375" style="88" customWidth="1"/>
    <col min="30" max="30" width="7.28515625" style="91" customWidth="1"/>
    <col min="31" max="31" width="7.28515625" style="88" customWidth="1"/>
    <col min="32" max="32" width="19.7109375" style="88" customWidth="1"/>
    <col min="33" max="33" width="18.85546875" style="93" customWidth="1"/>
    <col min="34" max="34" width="16.5703125" style="90" customWidth="1"/>
    <col min="35" max="35" width="16.5703125" style="88" customWidth="1"/>
    <col min="36" max="36" width="16" style="88" customWidth="1"/>
    <col min="37" max="37" width="71.140625" style="88" customWidth="1"/>
    <col min="38" max="46" width="9.140625" style="88" customWidth="1"/>
    <col min="47" max="1024" width="14.42578125" style="88"/>
  </cols>
  <sheetData>
    <row r="1" spans="1:37" x14ac:dyDescent="0.25">
      <c r="B1" s="7" t="s">
        <v>583</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5.75" customHeight="1" x14ac:dyDescent="0.25">
      <c r="B2" s="7" t="s">
        <v>1</v>
      </c>
      <c r="C2" s="7"/>
      <c r="D2" s="7"/>
      <c r="E2" s="7"/>
      <c r="F2" s="7" t="s">
        <v>584</v>
      </c>
      <c r="G2" s="7"/>
      <c r="H2" s="7"/>
      <c r="I2" s="7" t="s">
        <v>2</v>
      </c>
      <c r="J2" s="7"/>
      <c r="K2" s="7"/>
      <c r="L2" s="7"/>
      <c r="M2" s="7"/>
      <c r="N2" s="7" t="s">
        <v>3</v>
      </c>
      <c r="O2" s="7"/>
      <c r="P2" s="7"/>
      <c r="Q2" s="7"/>
      <c r="R2" s="7"/>
      <c r="S2" s="7"/>
      <c r="T2" s="7"/>
      <c r="U2" s="91" t="s">
        <v>4</v>
      </c>
      <c r="V2" s="7" t="s">
        <v>5</v>
      </c>
      <c r="W2" s="7"/>
      <c r="X2" s="7"/>
      <c r="Y2" s="7" t="s">
        <v>6</v>
      </c>
      <c r="Z2" s="7"/>
      <c r="AA2" s="7"/>
      <c r="AB2" s="7"/>
      <c r="AC2" s="7" t="s">
        <v>642</v>
      </c>
      <c r="AD2" s="7"/>
      <c r="AE2" s="7"/>
      <c r="AF2" s="7"/>
      <c r="AG2" s="7"/>
      <c r="AH2" s="7"/>
      <c r="AI2" s="7"/>
      <c r="AJ2" s="7"/>
      <c r="AK2" s="7"/>
    </row>
    <row r="3" spans="1:37" ht="23.25" x14ac:dyDescent="0.25">
      <c r="B3" s="88" t="s">
        <v>8</v>
      </c>
      <c r="C3" s="88" t="s">
        <v>10</v>
      </c>
      <c r="D3" s="89" t="s">
        <v>9</v>
      </c>
      <c r="E3" s="88" t="s">
        <v>11</v>
      </c>
      <c r="F3" s="94" t="s">
        <v>643</v>
      </c>
      <c r="G3" s="88" t="s">
        <v>14</v>
      </c>
      <c r="H3" s="88" t="s">
        <v>15</v>
      </c>
      <c r="I3" s="94" t="s">
        <v>16</v>
      </c>
      <c r="J3" s="94" t="s">
        <v>17</v>
      </c>
      <c r="K3" s="94" t="s">
        <v>19</v>
      </c>
      <c r="L3" s="95" t="s">
        <v>20</v>
      </c>
      <c r="M3" s="94" t="s">
        <v>21</v>
      </c>
      <c r="N3" s="88" t="s">
        <v>644</v>
      </c>
      <c r="O3" s="94" t="s">
        <v>645</v>
      </c>
      <c r="P3" s="94" t="s">
        <v>24</v>
      </c>
      <c r="Q3" s="96" t="s">
        <v>25</v>
      </c>
      <c r="R3" s="88" t="s">
        <v>646</v>
      </c>
      <c r="S3" s="94" t="s">
        <v>647</v>
      </c>
      <c r="T3" s="94" t="s">
        <v>648</v>
      </c>
      <c r="U3" s="95" t="s">
        <v>649</v>
      </c>
      <c r="V3" s="94" t="s">
        <v>650</v>
      </c>
      <c r="W3" s="94" t="s">
        <v>31</v>
      </c>
      <c r="X3" s="97" t="s">
        <v>32</v>
      </c>
      <c r="Y3" s="88" t="s">
        <v>33</v>
      </c>
      <c r="Z3" s="88" t="s">
        <v>34</v>
      </c>
      <c r="AA3" s="88" t="s">
        <v>35</v>
      </c>
      <c r="AB3" s="88" t="s">
        <v>36</v>
      </c>
      <c r="AC3" s="88" t="s">
        <v>7</v>
      </c>
      <c r="AD3" s="91" t="s">
        <v>37</v>
      </c>
      <c r="AE3" s="88" t="s">
        <v>38</v>
      </c>
      <c r="AF3" s="88" t="s">
        <v>651</v>
      </c>
      <c r="AG3" s="93" t="s">
        <v>652</v>
      </c>
      <c r="AH3" s="90" t="s">
        <v>653</v>
      </c>
      <c r="AI3" s="94" t="s">
        <v>42</v>
      </c>
      <c r="AJ3" s="88" t="s">
        <v>43</v>
      </c>
      <c r="AK3" s="88" t="s">
        <v>44</v>
      </c>
    </row>
    <row r="4" spans="1:37" x14ac:dyDescent="0.25">
      <c r="A4" s="98">
        <v>1</v>
      </c>
      <c r="B4" s="98" t="s">
        <v>45</v>
      </c>
      <c r="C4" s="98" t="s">
        <v>654</v>
      </c>
      <c r="D4" s="99" t="s">
        <v>46</v>
      </c>
      <c r="E4" s="98" t="s">
        <v>655</v>
      </c>
      <c r="F4" s="98"/>
      <c r="G4" s="98" t="s">
        <v>60</v>
      </c>
      <c r="H4" s="98" t="s">
        <v>463</v>
      </c>
      <c r="I4" s="98">
        <v>44694</v>
      </c>
      <c r="J4" s="98">
        <v>44934</v>
      </c>
      <c r="K4" s="100">
        <f t="shared" ref="K4:K38" ca="1" si="0">IF(M4="","",M4-TODAY())</f>
        <v>-160</v>
      </c>
      <c r="L4" s="99" t="str">
        <f t="shared" ref="L4:L38" ca="1" si="1">IF(K4&lt;=0,"EXPIRADO",IF(K4&gt;=60,"VIGENTE","ADITAR"))</f>
        <v>EXPIRADO</v>
      </c>
      <c r="M4" s="98">
        <v>45023</v>
      </c>
      <c r="N4" s="98">
        <v>44891</v>
      </c>
      <c r="O4" s="98">
        <f t="shared" ref="O4:O26" ca="1" si="2">IF(Q4="","",Q4-TODAY())</f>
        <v>-203</v>
      </c>
      <c r="P4" s="98" t="str">
        <f t="shared" ref="P4:P38" ca="1" si="3">IF(O4&lt;=0,"EXPIRADO",IF(O4&gt;=60,"VIGENTE","ADITAR"))</f>
        <v>EXPIRADO</v>
      </c>
      <c r="Q4" s="100">
        <v>44980</v>
      </c>
      <c r="R4" s="98"/>
      <c r="S4" s="98"/>
      <c r="T4" s="98">
        <f t="shared" ref="T4:T24" si="4">S4-R4</f>
        <v>0</v>
      </c>
      <c r="U4" s="101">
        <v>405</v>
      </c>
      <c r="V4" s="98">
        <v>818137.07</v>
      </c>
      <c r="W4" s="98">
        <v>24194.74</v>
      </c>
      <c r="X4" s="102">
        <v>0.97</v>
      </c>
      <c r="Y4" s="98" t="s">
        <v>52</v>
      </c>
      <c r="Z4" s="98" t="s">
        <v>126</v>
      </c>
      <c r="AA4" s="98" t="s">
        <v>49</v>
      </c>
      <c r="AB4" s="98" t="s">
        <v>49</v>
      </c>
      <c r="AC4" s="98" t="s">
        <v>656</v>
      </c>
      <c r="AD4" s="101">
        <v>1</v>
      </c>
      <c r="AE4" s="98">
        <v>0</v>
      </c>
      <c r="AF4" s="98">
        <f t="shared" ref="AF4:AF24" si="5">I4</f>
        <v>44694</v>
      </c>
      <c r="AG4" s="103">
        <f t="shared" ref="AG4:AG24" ca="1" si="6">(IF(AH4="","",AH4-TODAY()))/360</f>
        <v>3.6416666666666666</v>
      </c>
      <c r="AH4" s="100">
        <f t="shared" ref="AH4:AH24" si="7">AF4+1800</f>
        <v>46494</v>
      </c>
      <c r="AI4" s="98"/>
      <c r="AJ4" s="98"/>
      <c r="AK4" s="98"/>
    </row>
    <row r="5" spans="1:37" x14ac:dyDescent="0.25">
      <c r="A5" s="98">
        <v>2</v>
      </c>
      <c r="B5" s="98" t="s">
        <v>45</v>
      </c>
      <c r="C5" s="98" t="s">
        <v>657</v>
      </c>
      <c r="D5" s="99" t="s">
        <v>658</v>
      </c>
      <c r="E5" s="98" t="s">
        <v>659</v>
      </c>
      <c r="F5" s="98"/>
      <c r="G5" s="98" t="s">
        <v>135</v>
      </c>
      <c r="H5" s="98" t="s">
        <v>141</v>
      </c>
      <c r="I5" s="98">
        <v>44686</v>
      </c>
      <c r="J5" s="98">
        <v>45016</v>
      </c>
      <c r="K5" s="100">
        <f t="shared" ca="1" si="0"/>
        <v>12</v>
      </c>
      <c r="L5" s="99" t="str">
        <f t="shared" ca="1" si="1"/>
        <v>ADITAR</v>
      </c>
      <c r="M5" s="98">
        <v>45195</v>
      </c>
      <c r="N5" s="98">
        <v>44977</v>
      </c>
      <c r="O5" s="98">
        <f t="shared" ca="1" si="2"/>
        <v>-27</v>
      </c>
      <c r="P5" s="98" t="str">
        <f t="shared" ca="1" si="3"/>
        <v>EXPIRADO</v>
      </c>
      <c r="Q5" s="100">
        <v>45156</v>
      </c>
      <c r="R5" s="98"/>
      <c r="S5" s="98"/>
      <c r="T5" s="98">
        <f t="shared" si="4"/>
        <v>0</v>
      </c>
      <c r="U5" s="101">
        <v>404</v>
      </c>
      <c r="V5" s="98">
        <f>[62]CADASTRO!$C$30</f>
        <v>698607.93</v>
      </c>
      <c r="W5" s="98">
        <v>320648.28999999998</v>
      </c>
      <c r="X5" s="102">
        <v>0.54</v>
      </c>
      <c r="Y5" s="98" t="s">
        <v>52</v>
      </c>
      <c r="Z5" s="98" t="s">
        <v>142</v>
      </c>
      <c r="AA5" s="98" t="s">
        <v>49</v>
      </c>
      <c r="AB5" s="98" t="s">
        <v>49</v>
      </c>
      <c r="AC5" s="98" t="s">
        <v>656</v>
      </c>
      <c r="AD5" s="101">
        <v>2</v>
      </c>
      <c r="AE5" s="98">
        <v>0</v>
      </c>
      <c r="AF5" s="98">
        <f t="shared" si="5"/>
        <v>44686</v>
      </c>
      <c r="AG5" s="103">
        <f t="shared" ca="1" si="6"/>
        <v>3.6194444444444445</v>
      </c>
      <c r="AH5" s="100">
        <f t="shared" si="7"/>
        <v>46486</v>
      </c>
      <c r="AI5" s="98"/>
      <c r="AJ5" s="98"/>
      <c r="AK5" s="98"/>
    </row>
    <row r="6" spans="1:37" x14ac:dyDescent="0.25">
      <c r="A6" s="98">
        <v>3</v>
      </c>
      <c r="B6" s="98" t="s">
        <v>45</v>
      </c>
      <c r="C6" s="98" t="s">
        <v>660</v>
      </c>
      <c r="D6" s="99" t="s">
        <v>661</v>
      </c>
      <c r="E6" s="98" t="s">
        <v>662</v>
      </c>
      <c r="F6" s="98"/>
      <c r="G6" s="98" t="s">
        <v>60</v>
      </c>
      <c r="H6" s="98" t="s">
        <v>61</v>
      </c>
      <c r="I6" s="98">
        <v>44686</v>
      </c>
      <c r="J6" s="98">
        <v>44686</v>
      </c>
      <c r="K6" s="100">
        <f t="shared" ca="1" si="0"/>
        <v>-257</v>
      </c>
      <c r="L6" s="99" t="str">
        <f t="shared" ca="1" si="1"/>
        <v>EXPIRADO</v>
      </c>
      <c r="M6" s="98">
        <v>44926</v>
      </c>
      <c r="N6" s="98">
        <v>44711</v>
      </c>
      <c r="O6" s="98">
        <f t="shared" ca="1" si="2"/>
        <v>-292</v>
      </c>
      <c r="P6" s="98" t="str">
        <f t="shared" ca="1" si="3"/>
        <v>EXPIRADO</v>
      </c>
      <c r="Q6" s="100">
        <v>44891</v>
      </c>
      <c r="R6" s="98"/>
      <c r="S6" s="98"/>
      <c r="T6" s="98">
        <f t="shared" si="4"/>
        <v>0</v>
      </c>
      <c r="U6" s="101" t="s">
        <v>663</v>
      </c>
      <c r="V6" s="98">
        <v>257934.55</v>
      </c>
      <c r="W6" s="98">
        <v>15536.62</v>
      </c>
      <c r="X6" s="102">
        <v>0.94</v>
      </c>
      <c r="Y6" s="98" t="s">
        <v>664</v>
      </c>
      <c r="Z6" s="98" t="s">
        <v>153</v>
      </c>
      <c r="AA6" s="98" t="s">
        <v>49</v>
      </c>
      <c r="AB6" s="98" t="s">
        <v>49</v>
      </c>
      <c r="AC6" s="98" t="s">
        <v>656</v>
      </c>
      <c r="AD6" s="101">
        <v>0</v>
      </c>
      <c r="AE6" s="98">
        <v>0</v>
      </c>
      <c r="AF6" s="98">
        <f t="shared" si="5"/>
        <v>44686</v>
      </c>
      <c r="AG6" s="103">
        <f t="shared" ca="1" si="6"/>
        <v>3.6194444444444445</v>
      </c>
      <c r="AH6" s="100">
        <f t="shared" si="7"/>
        <v>46486</v>
      </c>
      <c r="AI6" s="98"/>
      <c r="AJ6" s="98"/>
      <c r="AK6" s="98"/>
    </row>
    <row r="7" spans="1:37" x14ac:dyDescent="0.25">
      <c r="A7" s="98">
        <v>4</v>
      </c>
      <c r="B7" s="98" t="s">
        <v>45</v>
      </c>
      <c r="C7" s="98" t="s">
        <v>660</v>
      </c>
      <c r="D7" s="99" t="s">
        <v>661</v>
      </c>
      <c r="E7" s="98" t="s">
        <v>665</v>
      </c>
      <c r="F7" s="98"/>
      <c r="G7" s="98" t="s">
        <v>135</v>
      </c>
      <c r="H7" s="98" t="s">
        <v>136</v>
      </c>
      <c r="I7" s="98">
        <v>44686</v>
      </c>
      <c r="J7" s="98">
        <v>44686</v>
      </c>
      <c r="K7" s="100">
        <f t="shared" ca="1" si="0"/>
        <v>-257</v>
      </c>
      <c r="L7" s="99" t="str">
        <f t="shared" ca="1" si="1"/>
        <v>EXPIRADO</v>
      </c>
      <c r="M7" s="98">
        <v>44926</v>
      </c>
      <c r="N7" s="98">
        <v>44711</v>
      </c>
      <c r="O7" s="98">
        <f t="shared" ca="1" si="2"/>
        <v>-292</v>
      </c>
      <c r="P7" s="98" t="str">
        <f t="shared" ca="1" si="3"/>
        <v>EXPIRADO</v>
      </c>
      <c r="Q7" s="100">
        <v>44891</v>
      </c>
      <c r="R7" s="98"/>
      <c r="S7" s="98"/>
      <c r="T7" s="98">
        <f t="shared" si="4"/>
        <v>0</v>
      </c>
      <c r="U7" s="101" t="s">
        <v>663</v>
      </c>
      <c r="V7" s="98">
        <v>257934.55</v>
      </c>
      <c r="W7" s="98">
        <v>15536.62</v>
      </c>
      <c r="X7" s="102">
        <v>0.94</v>
      </c>
      <c r="Y7" s="98" t="s">
        <v>664</v>
      </c>
      <c r="Z7" s="98" t="s">
        <v>153</v>
      </c>
      <c r="AA7" s="98" t="s">
        <v>49</v>
      </c>
      <c r="AB7" s="98" t="s">
        <v>49</v>
      </c>
      <c r="AC7" s="98" t="s">
        <v>656</v>
      </c>
      <c r="AD7" s="101">
        <v>0</v>
      </c>
      <c r="AE7" s="98">
        <v>0</v>
      </c>
      <c r="AF7" s="98">
        <f t="shared" si="5"/>
        <v>44686</v>
      </c>
      <c r="AG7" s="103">
        <f t="shared" ca="1" si="6"/>
        <v>3.6194444444444445</v>
      </c>
      <c r="AH7" s="100">
        <f t="shared" si="7"/>
        <v>46486</v>
      </c>
      <c r="AI7" s="98"/>
      <c r="AJ7" s="98"/>
      <c r="AK7" s="98"/>
    </row>
    <row r="8" spans="1:37" x14ac:dyDescent="0.25">
      <c r="A8" s="98">
        <v>5</v>
      </c>
      <c r="B8" s="98" t="s">
        <v>45</v>
      </c>
      <c r="C8" s="98" t="s">
        <v>666</v>
      </c>
      <c r="D8" s="99" t="s">
        <v>81</v>
      </c>
      <c r="E8" s="98" t="s">
        <v>667</v>
      </c>
      <c r="F8" s="98"/>
      <c r="G8" s="98" t="s">
        <v>117</v>
      </c>
      <c r="H8" s="98" t="s">
        <v>668</v>
      </c>
      <c r="I8" s="98">
        <v>44687</v>
      </c>
      <c r="J8" s="86">
        <f>[63]CADASTRO!$C$9</f>
        <v>45017</v>
      </c>
      <c r="K8" s="100">
        <f t="shared" ca="1" si="0"/>
        <v>-137</v>
      </c>
      <c r="L8" s="99" t="str">
        <f t="shared" ca="1" si="1"/>
        <v>EXPIRADO</v>
      </c>
      <c r="M8" s="86">
        <f>[63]CADASTRO!$C$10</f>
        <v>45046</v>
      </c>
      <c r="N8" s="86">
        <f>[63]CADASTRO!$C$16</f>
        <v>44939</v>
      </c>
      <c r="O8" s="98">
        <f t="shared" ca="1" si="2"/>
        <v>-215</v>
      </c>
      <c r="P8" s="98" t="str">
        <f t="shared" ca="1" si="3"/>
        <v>EXPIRADO</v>
      </c>
      <c r="Q8" s="100">
        <f>[63]CADASTRO!$C$17</f>
        <v>44968</v>
      </c>
      <c r="R8" s="98"/>
      <c r="S8" s="98"/>
      <c r="T8" s="98">
        <f t="shared" si="4"/>
        <v>0</v>
      </c>
      <c r="U8" s="101">
        <v>420</v>
      </c>
      <c r="V8" s="104">
        <f>[63]CADASTRO!$C$30</f>
        <v>4442979.5200000005</v>
      </c>
      <c r="W8" s="98">
        <v>1389304.94</v>
      </c>
      <c r="X8" s="102">
        <v>0.69</v>
      </c>
      <c r="Y8" s="98" t="s">
        <v>137</v>
      </c>
      <c r="Z8" s="98" t="s">
        <v>62</v>
      </c>
      <c r="AA8" s="98" t="s">
        <v>49</v>
      </c>
      <c r="AB8" s="98" t="s">
        <v>49</v>
      </c>
      <c r="AC8" s="98" t="s">
        <v>656</v>
      </c>
      <c r="AD8" s="101">
        <v>1</v>
      </c>
      <c r="AE8" s="98">
        <v>1</v>
      </c>
      <c r="AF8" s="98">
        <f t="shared" si="5"/>
        <v>44687</v>
      </c>
      <c r="AG8" s="103">
        <f t="shared" ca="1" si="6"/>
        <v>3.6222222222222222</v>
      </c>
      <c r="AH8" s="100">
        <f t="shared" si="7"/>
        <v>46487</v>
      </c>
      <c r="AI8" s="98"/>
      <c r="AJ8" s="98"/>
      <c r="AK8" s="98"/>
    </row>
    <row r="9" spans="1:37" x14ac:dyDescent="0.25">
      <c r="A9" s="98">
        <v>6</v>
      </c>
      <c r="B9" s="98" t="s">
        <v>45</v>
      </c>
      <c r="C9" s="98" t="s">
        <v>669</v>
      </c>
      <c r="D9" s="99" t="s">
        <v>658</v>
      </c>
      <c r="E9" s="98" t="s">
        <v>670</v>
      </c>
      <c r="F9" s="98"/>
      <c r="G9" s="98" t="s">
        <v>135</v>
      </c>
      <c r="H9" s="98" t="s">
        <v>141</v>
      </c>
      <c r="I9" s="98">
        <v>44686</v>
      </c>
      <c r="J9" s="98">
        <v>45016</v>
      </c>
      <c r="K9" s="100">
        <f t="shared" ca="1" si="0"/>
        <v>42</v>
      </c>
      <c r="L9" s="99" t="str">
        <f t="shared" ca="1" si="1"/>
        <v>ADITAR</v>
      </c>
      <c r="M9" s="98">
        <v>45225</v>
      </c>
      <c r="N9" s="98">
        <v>44977</v>
      </c>
      <c r="O9" s="98">
        <f t="shared" ca="1" si="2"/>
        <v>-27</v>
      </c>
      <c r="P9" s="98" t="str">
        <f t="shared" ca="1" si="3"/>
        <v>EXPIRADO</v>
      </c>
      <c r="Q9" s="100">
        <v>45156</v>
      </c>
      <c r="R9" s="98"/>
      <c r="S9" s="98"/>
      <c r="T9" s="98">
        <f t="shared" si="4"/>
        <v>0</v>
      </c>
      <c r="U9" s="101">
        <v>404</v>
      </c>
      <c r="V9" s="98">
        <v>698607.92</v>
      </c>
      <c r="W9" s="98">
        <v>320648.28999999998</v>
      </c>
      <c r="X9" s="102">
        <v>0.54</v>
      </c>
      <c r="Y9" s="98" t="s">
        <v>52</v>
      </c>
      <c r="Z9" s="98" t="s">
        <v>142</v>
      </c>
      <c r="AA9" s="98" t="s">
        <v>49</v>
      </c>
      <c r="AB9" s="98" t="s">
        <v>49</v>
      </c>
      <c r="AC9" s="98" t="s">
        <v>656</v>
      </c>
      <c r="AD9" s="101">
        <v>0</v>
      </c>
      <c r="AE9" s="98">
        <v>0</v>
      </c>
      <c r="AF9" s="98">
        <f t="shared" si="5"/>
        <v>44686</v>
      </c>
      <c r="AG9" s="103">
        <f t="shared" ca="1" si="6"/>
        <v>3.6194444444444445</v>
      </c>
      <c r="AH9" s="100">
        <f t="shared" si="7"/>
        <v>46486</v>
      </c>
      <c r="AI9" s="98"/>
      <c r="AJ9" s="98"/>
      <c r="AK9" s="98"/>
    </row>
    <row r="10" spans="1:37" x14ac:dyDescent="0.25">
      <c r="A10" s="98">
        <v>7</v>
      </c>
      <c r="B10" s="98" t="s">
        <v>45</v>
      </c>
      <c r="C10" s="98" t="s">
        <v>671</v>
      </c>
      <c r="D10" s="99" t="s">
        <v>46</v>
      </c>
      <c r="E10" s="98" t="s">
        <v>672</v>
      </c>
      <c r="F10" s="98"/>
      <c r="G10" s="98" t="s">
        <v>135</v>
      </c>
      <c r="H10" s="98" t="s">
        <v>673</v>
      </c>
      <c r="I10" s="98">
        <v>44053</v>
      </c>
      <c r="J10" s="98">
        <v>44890</v>
      </c>
      <c r="K10" s="100">
        <f t="shared" ca="1" si="0"/>
        <v>-174</v>
      </c>
      <c r="L10" s="99" t="str">
        <f t="shared" ca="1" si="1"/>
        <v>EXPIRADO</v>
      </c>
      <c r="M10" s="98">
        <v>45009</v>
      </c>
      <c r="N10" s="98">
        <v>45199</v>
      </c>
      <c r="O10" s="98">
        <f t="shared" ca="1" si="2"/>
        <v>-228</v>
      </c>
      <c r="P10" s="98" t="str">
        <f t="shared" ca="1" si="3"/>
        <v>EXPIRADO</v>
      </c>
      <c r="Q10" s="100">
        <v>44955</v>
      </c>
      <c r="R10" s="98">
        <v>44565</v>
      </c>
      <c r="S10" s="98">
        <v>44676</v>
      </c>
      <c r="T10" s="98">
        <f t="shared" si="4"/>
        <v>111</v>
      </c>
      <c r="U10" s="101">
        <v>402</v>
      </c>
      <c r="V10" s="98">
        <v>3158876.1</v>
      </c>
      <c r="W10" s="104">
        <f>[64]CADASTRO!$C$31</f>
        <v>290136.41999999993</v>
      </c>
      <c r="X10" s="102">
        <f>[64]CADASTRO!$C$32</f>
        <v>0.90815201014056868</v>
      </c>
      <c r="Y10" s="98" t="s">
        <v>53</v>
      </c>
      <c r="Z10" s="98" t="s">
        <v>52</v>
      </c>
      <c r="AA10" s="98" t="s">
        <v>49</v>
      </c>
      <c r="AB10" s="98" t="s">
        <v>49</v>
      </c>
      <c r="AC10" s="98" t="s">
        <v>656</v>
      </c>
      <c r="AD10" s="101">
        <v>5</v>
      </c>
      <c r="AE10" s="98">
        <v>0</v>
      </c>
      <c r="AF10" s="98">
        <f t="shared" si="5"/>
        <v>44053</v>
      </c>
      <c r="AG10" s="103">
        <f t="shared" ca="1" si="6"/>
        <v>1.8611111111111112</v>
      </c>
      <c r="AH10" s="100">
        <f t="shared" si="7"/>
        <v>45853</v>
      </c>
      <c r="AI10" s="98"/>
      <c r="AJ10" s="98"/>
      <c r="AK10" s="98"/>
    </row>
    <row r="11" spans="1:37" x14ac:dyDescent="0.25">
      <c r="A11" s="98">
        <v>8</v>
      </c>
      <c r="B11" s="98" t="s">
        <v>45</v>
      </c>
      <c r="C11" s="98" t="s">
        <v>674</v>
      </c>
      <c r="D11" s="99" t="s">
        <v>81</v>
      </c>
      <c r="E11" s="98" t="s">
        <v>675</v>
      </c>
      <c r="F11" s="98"/>
      <c r="G11" s="98" t="s">
        <v>78</v>
      </c>
      <c r="H11" s="98" t="s">
        <v>676</v>
      </c>
      <c r="I11" s="98">
        <v>44708</v>
      </c>
      <c r="J11" s="98">
        <v>44708</v>
      </c>
      <c r="K11" s="100">
        <f t="shared" ca="1" si="0"/>
        <v>-235</v>
      </c>
      <c r="L11" s="99" t="str">
        <f t="shared" ca="1" si="1"/>
        <v>EXPIRADO</v>
      </c>
      <c r="M11" s="98">
        <f>J11+240</f>
        <v>44948</v>
      </c>
      <c r="N11" s="98">
        <v>44759</v>
      </c>
      <c r="O11" s="98">
        <f t="shared" ca="1" si="2"/>
        <v>-244</v>
      </c>
      <c r="P11" s="98" t="str">
        <f t="shared" ca="1" si="3"/>
        <v>EXPIRADO</v>
      </c>
      <c r="Q11" s="100">
        <f>N11+180</f>
        <v>44939</v>
      </c>
      <c r="R11" s="98"/>
      <c r="S11" s="98"/>
      <c r="T11" s="98">
        <f t="shared" si="4"/>
        <v>0</v>
      </c>
      <c r="U11" s="101">
        <v>30</v>
      </c>
      <c r="V11" s="98">
        <v>2304763.1800000002</v>
      </c>
      <c r="W11" s="104">
        <f>[65]CADASTRO!$C$31</f>
        <v>332974.95999999996</v>
      </c>
      <c r="X11" s="102">
        <f>[65]CADASTRO!$C$32</f>
        <v>0.85552747332591461</v>
      </c>
      <c r="Y11" s="98" t="s">
        <v>63</v>
      </c>
      <c r="Z11" s="98" t="s">
        <v>137</v>
      </c>
      <c r="AA11" s="98" t="s">
        <v>49</v>
      </c>
      <c r="AB11" s="98" t="s">
        <v>49</v>
      </c>
      <c r="AC11" s="98" t="s">
        <v>656</v>
      </c>
      <c r="AD11" s="101">
        <v>0</v>
      </c>
      <c r="AE11" s="98">
        <v>1</v>
      </c>
      <c r="AF11" s="98">
        <f t="shared" si="5"/>
        <v>44708</v>
      </c>
      <c r="AG11" s="103">
        <f t="shared" ca="1" si="6"/>
        <v>3.6805555555555554</v>
      </c>
      <c r="AH11" s="100">
        <f t="shared" si="7"/>
        <v>46508</v>
      </c>
      <c r="AI11" s="98"/>
      <c r="AJ11" s="98"/>
      <c r="AK11" s="98"/>
    </row>
    <row r="12" spans="1:37" x14ac:dyDescent="0.25">
      <c r="A12" s="98">
        <v>9</v>
      </c>
      <c r="B12" s="98" t="s">
        <v>45</v>
      </c>
      <c r="C12" s="98" t="s">
        <v>654</v>
      </c>
      <c r="D12" s="99" t="s">
        <v>46</v>
      </c>
      <c r="E12" s="98" t="s">
        <v>677</v>
      </c>
      <c r="F12" s="98"/>
      <c r="G12" s="98" t="s">
        <v>50</v>
      </c>
      <c r="H12" s="98" t="s">
        <v>92</v>
      </c>
      <c r="I12" s="98"/>
      <c r="J12" s="98">
        <v>44934</v>
      </c>
      <c r="K12" s="100">
        <f t="shared" ca="1" si="0"/>
        <v>1336</v>
      </c>
      <c r="L12" s="99" t="str">
        <f t="shared" ca="1" si="1"/>
        <v>VIGENTE</v>
      </c>
      <c r="M12" s="98">
        <v>46519</v>
      </c>
      <c r="N12" s="98"/>
      <c r="O12" s="98">
        <f t="shared" ca="1" si="2"/>
        <v>-202</v>
      </c>
      <c r="P12" s="98" t="str">
        <f t="shared" ca="1" si="3"/>
        <v>EXPIRADO</v>
      </c>
      <c r="Q12" s="100">
        <v>44981</v>
      </c>
      <c r="R12" s="98"/>
      <c r="S12" s="98"/>
      <c r="T12" s="98">
        <f t="shared" si="4"/>
        <v>0</v>
      </c>
      <c r="U12" s="101">
        <v>405</v>
      </c>
      <c r="V12" s="98">
        <v>818137.07</v>
      </c>
      <c r="W12" s="98">
        <v>166924.65</v>
      </c>
      <c r="X12" s="102">
        <v>0.8</v>
      </c>
      <c r="Y12" s="98" t="s">
        <v>52</v>
      </c>
      <c r="Z12" s="98" t="s">
        <v>126</v>
      </c>
      <c r="AA12" s="98" t="s">
        <v>49</v>
      </c>
      <c r="AB12" s="98" t="s">
        <v>49</v>
      </c>
      <c r="AC12" s="98" t="s">
        <v>656</v>
      </c>
      <c r="AD12" s="101">
        <v>0</v>
      </c>
      <c r="AE12" s="98">
        <v>0</v>
      </c>
      <c r="AF12" s="98">
        <f t="shared" si="5"/>
        <v>0</v>
      </c>
      <c r="AG12" s="103">
        <f t="shared" ca="1" si="6"/>
        <v>-120.50833333333334</v>
      </c>
      <c r="AH12" s="100">
        <f t="shared" si="7"/>
        <v>1800</v>
      </c>
      <c r="AI12" s="98"/>
      <c r="AJ12" s="98"/>
      <c r="AK12" s="98"/>
    </row>
    <row r="13" spans="1:37" x14ac:dyDescent="0.25">
      <c r="A13" s="98">
        <v>10</v>
      </c>
      <c r="B13" s="98" t="s">
        <v>45</v>
      </c>
      <c r="C13" s="98" t="s">
        <v>654</v>
      </c>
      <c r="D13" s="99" t="s">
        <v>46</v>
      </c>
      <c r="E13" s="98" t="s">
        <v>678</v>
      </c>
      <c r="F13" s="98"/>
      <c r="G13" s="98" t="s">
        <v>60</v>
      </c>
      <c r="H13" s="98" t="s">
        <v>463</v>
      </c>
      <c r="I13" s="100"/>
      <c r="J13" s="100">
        <v>44934</v>
      </c>
      <c r="K13" s="98">
        <f t="shared" ca="1" si="0"/>
        <v>1336</v>
      </c>
      <c r="L13" s="99" t="str">
        <f t="shared" ca="1" si="1"/>
        <v>VIGENTE</v>
      </c>
      <c r="M13" s="100">
        <v>46519</v>
      </c>
      <c r="N13" s="98"/>
      <c r="O13" s="98">
        <f t="shared" ca="1" si="2"/>
        <v>-204</v>
      </c>
      <c r="P13" s="98" t="str">
        <f t="shared" ca="1" si="3"/>
        <v>EXPIRADO</v>
      </c>
      <c r="Q13" s="100">
        <v>44979</v>
      </c>
      <c r="R13" s="98"/>
      <c r="S13" s="98"/>
      <c r="T13" s="98">
        <f t="shared" si="4"/>
        <v>0</v>
      </c>
      <c r="U13" s="101">
        <v>405</v>
      </c>
      <c r="V13" s="98">
        <v>818137.07</v>
      </c>
      <c r="W13" s="98">
        <v>166924.65</v>
      </c>
      <c r="X13" s="102">
        <v>0.8</v>
      </c>
      <c r="Y13" s="98" t="s">
        <v>52</v>
      </c>
      <c r="Z13" s="98" t="s">
        <v>126</v>
      </c>
      <c r="AA13" s="98" t="s">
        <v>49</v>
      </c>
      <c r="AB13" s="98" t="s">
        <v>49</v>
      </c>
      <c r="AC13" s="98" t="s">
        <v>656</v>
      </c>
      <c r="AD13" s="101">
        <v>0</v>
      </c>
      <c r="AE13" s="98">
        <v>0</v>
      </c>
      <c r="AF13" s="100">
        <f t="shared" si="5"/>
        <v>0</v>
      </c>
      <c r="AG13" s="103">
        <f t="shared" ca="1" si="6"/>
        <v>-120.50833333333334</v>
      </c>
      <c r="AH13" s="100">
        <f t="shared" si="7"/>
        <v>1800</v>
      </c>
      <c r="AI13" s="98"/>
      <c r="AJ13" s="98"/>
      <c r="AK13" s="98"/>
    </row>
    <row r="14" spans="1:37" x14ac:dyDescent="0.25">
      <c r="A14" s="98">
        <v>11</v>
      </c>
      <c r="B14" s="98" t="s">
        <v>45</v>
      </c>
      <c r="C14" s="98" t="s">
        <v>654</v>
      </c>
      <c r="D14" s="99" t="s">
        <v>46</v>
      </c>
      <c r="E14" s="98" t="s">
        <v>679</v>
      </c>
      <c r="F14" s="98"/>
      <c r="G14" s="98" t="s">
        <v>60</v>
      </c>
      <c r="H14" s="98" t="s">
        <v>463</v>
      </c>
      <c r="I14" s="100"/>
      <c r="J14" s="100">
        <v>45023</v>
      </c>
      <c r="K14" s="98">
        <f t="shared" ca="1" si="0"/>
        <v>1336</v>
      </c>
      <c r="L14" s="99" t="str">
        <f t="shared" ca="1" si="1"/>
        <v>VIGENTE</v>
      </c>
      <c r="M14" s="100">
        <v>46519</v>
      </c>
      <c r="N14" s="98"/>
      <c r="O14" s="98">
        <f t="shared" ca="1" si="2"/>
        <v>-204</v>
      </c>
      <c r="P14" s="98" t="str">
        <f t="shared" ca="1" si="3"/>
        <v>EXPIRADO</v>
      </c>
      <c r="Q14" s="100">
        <v>44979</v>
      </c>
      <c r="R14" s="98"/>
      <c r="S14" s="98"/>
      <c r="T14" s="98">
        <f t="shared" si="4"/>
        <v>0</v>
      </c>
      <c r="U14" s="101">
        <v>405</v>
      </c>
      <c r="V14" s="98">
        <v>818137.07</v>
      </c>
      <c r="W14" s="98">
        <v>166924.65</v>
      </c>
      <c r="X14" s="102">
        <v>0.8</v>
      </c>
      <c r="Y14" s="98" t="s">
        <v>52</v>
      </c>
      <c r="Z14" s="98" t="s">
        <v>126</v>
      </c>
      <c r="AA14" s="98" t="s">
        <v>49</v>
      </c>
      <c r="AB14" s="98" t="s">
        <v>49</v>
      </c>
      <c r="AC14" s="98" t="s">
        <v>656</v>
      </c>
      <c r="AD14" s="101">
        <v>0</v>
      </c>
      <c r="AE14" s="98">
        <v>0</v>
      </c>
      <c r="AF14" s="100">
        <f t="shared" si="5"/>
        <v>0</v>
      </c>
      <c r="AG14" s="103">
        <f t="shared" ca="1" si="6"/>
        <v>-120.50833333333334</v>
      </c>
      <c r="AH14" s="100">
        <f t="shared" si="7"/>
        <v>1800</v>
      </c>
      <c r="AI14" s="98"/>
      <c r="AJ14" s="98"/>
      <c r="AK14" s="98"/>
    </row>
    <row r="15" spans="1:37" ht="13.5" customHeight="1" x14ac:dyDescent="0.25">
      <c r="A15" s="98">
        <v>12</v>
      </c>
      <c r="B15" s="98" t="s">
        <v>45</v>
      </c>
      <c r="C15" s="98" t="s">
        <v>680</v>
      </c>
      <c r="D15" s="99" t="s">
        <v>225</v>
      </c>
      <c r="E15" s="98" t="s">
        <v>681</v>
      </c>
      <c r="F15" s="98"/>
      <c r="G15" s="98" t="s">
        <v>60</v>
      </c>
      <c r="H15" s="98" t="s">
        <v>219</v>
      </c>
      <c r="I15" s="100">
        <v>44686</v>
      </c>
      <c r="J15" s="100">
        <v>44926</v>
      </c>
      <c r="K15" s="98">
        <f t="shared" ca="1" si="0"/>
        <v>1328</v>
      </c>
      <c r="L15" s="99" t="str">
        <f t="shared" ca="1" si="1"/>
        <v>VIGENTE</v>
      </c>
      <c r="M15" s="100">
        <v>46511</v>
      </c>
      <c r="N15" s="98"/>
      <c r="O15" s="98">
        <f t="shared" ca="1" si="2"/>
        <v>-289</v>
      </c>
      <c r="P15" s="98" t="str">
        <f t="shared" ca="1" si="3"/>
        <v>EXPIRADO</v>
      </c>
      <c r="Q15" s="100">
        <v>44894</v>
      </c>
      <c r="R15" s="98"/>
      <c r="S15" s="98"/>
      <c r="T15" s="98">
        <f t="shared" si="4"/>
        <v>0</v>
      </c>
      <c r="U15" s="105" t="s">
        <v>682</v>
      </c>
      <c r="V15" s="98">
        <v>164694</v>
      </c>
      <c r="W15" s="98">
        <v>10805.98</v>
      </c>
      <c r="X15" s="102">
        <v>0.93</v>
      </c>
      <c r="Y15" s="98" t="s">
        <v>62</v>
      </c>
      <c r="Z15" s="98" t="s">
        <v>296</v>
      </c>
      <c r="AA15" s="98" t="s">
        <v>49</v>
      </c>
      <c r="AB15" s="98" t="s">
        <v>49</v>
      </c>
      <c r="AC15" s="98" t="s">
        <v>656</v>
      </c>
      <c r="AD15" s="101">
        <v>0</v>
      </c>
      <c r="AE15" s="98">
        <v>0</v>
      </c>
      <c r="AF15" s="100">
        <f t="shared" si="5"/>
        <v>44686</v>
      </c>
      <c r="AG15" s="103">
        <f t="shared" ca="1" si="6"/>
        <v>3.6194444444444445</v>
      </c>
      <c r="AH15" s="100">
        <f t="shared" si="7"/>
        <v>46486</v>
      </c>
      <c r="AI15" s="98"/>
      <c r="AJ15" s="98"/>
      <c r="AK15" s="98"/>
    </row>
    <row r="16" spans="1:37" x14ac:dyDescent="0.25">
      <c r="A16" s="98">
        <v>13</v>
      </c>
      <c r="B16" s="98" t="s">
        <v>45</v>
      </c>
      <c r="C16" s="98" t="s">
        <v>683</v>
      </c>
      <c r="D16" s="99" t="s">
        <v>97</v>
      </c>
      <c r="E16" s="98" t="s">
        <v>684</v>
      </c>
      <c r="F16" s="98"/>
      <c r="G16" s="98" t="s">
        <v>78</v>
      </c>
      <c r="H16" s="98" t="s">
        <v>685</v>
      </c>
      <c r="I16" s="100"/>
      <c r="J16" s="100">
        <v>44926</v>
      </c>
      <c r="K16" s="98">
        <f t="shared" ca="1" si="0"/>
        <v>1328</v>
      </c>
      <c r="L16" s="99" t="str">
        <f t="shared" ca="1" si="1"/>
        <v>VIGENTE</v>
      </c>
      <c r="M16" s="100">
        <v>46511</v>
      </c>
      <c r="N16" s="98"/>
      <c r="O16" s="98">
        <f t="shared" ca="1" si="2"/>
        <v>-291</v>
      </c>
      <c r="P16" s="98" t="str">
        <f t="shared" ca="1" si="3"/>
        <v>EXPIRADO</v>
      </c>
      <c r="Q16" s="100">
        <v>44892</v>
      </c>
      <c r="R16" s="98"/>
      <c r="S16" s="98"/>
      <c r="T16" s="98">
        <f t="shared" si="4"/>
        <v>0</v>
      </c>
      <c r="U16" s="101">
        <v>404</v>
      </c>
      <c r="V16" s="98">
        <v>590342.06999999995</v>
      </c>
      <c r="W16" s="98">
        <v>4229.07</v>
      </c>
      <c r="X16" s="102">
        <v>0.99</v>
      </c>
      <c r="Y16" s="98" t="s">
        <v>177</v>
      </c>
      <c r="Z16" s="98" t="s">
        <v>296</v>
      </c>
      <c r="AA16" s="98" t="s">
        <v>49</v>
      </c>
      <c r="AB16" s="98" t="s">
        <v>49</v>
      </c>
      <c r="AC16" s="98" t="s">
        <v>656</v>
      </c>
      <c r="AD16" s="101">
        <v>0</v>
      </c>
      <c r="AE16" s="98">
        <v>0</v>
      </c>
      <c r="AF16" s="100">
        <f t="shared" si="5"/>
        <v>0</v>
      </c>
      <c r="AG16" s="103">
        <f t="shared" ca="1" si="6"/>
        <v>-120.50833333333334</v>
      </c>
      <c r="AH16" s="100">
        <f t="shared" si="7"/>
        <v>1800</v>
      </c>
      <c r="AI16" s="98"/>
      <c r="AJ16" s="98"/>
      <c r="AK16" s="98"/>
    </row>
    <row r="17" spans="1:37" x14ac:dyDescent="0.25">
      <c r="A17" s="98">
        <v>14</v>
      </c>
      <c r="B17" s="98" t="s">
        <v>45</v>
      </c>
      <c r="C17" s="98" t="s">
        <v>683</v>
      </c>
      <c r="D17" s="99" t="s">
        <v>97</v>
      </c>
      <c r="E17" s="98" t="s">
        <v>686</v>
      </c>
      <c r="F17" s="98"/>
      <c r="G17" s="98" t="s">
        <v>78</v>
      </c>
      <c r="H17" s="98" t="s">
        <v>112</v>
      </c>
      <c r="I17" s="100"/>
      <c r="J17" s="100">
        <v>44925</v>
      </c>
      <c r="K17" s="98">
        <f t="shared" ca="1" si="0"/>
        <v>1327</v>
      </c>
      <c r="L17" s="99" t="str">
        <f t="shared" ca="1" si="1"/>
        <v>VIGENTE</v>
      </c>
      <c r="M17" s="100">
        <v>46510</v>
      </c>
      <c r="N17" s="98"/>
      <c r="O17" s="98">
        <f t="shared" ca="1" si="2"/>
        <v>-296</v>
      </c>
      <c r="P17" s="98" t="str">
        <f t="shared" ca="1" si="3"/>
        <v>EXPIRADO</v>
      </c>
      <c r="Q17" s="100">
        <v>44887</v>
      </c>
      <c r="R17" s="98"/>
      <c r="S17" s="98"/>
      <c r="T17" s="98">
        <f t="shared" si="4"/>
        <v>0</v>
      </c>
      <c r="U17" s="101">
        <v>404</v>
      </c>
      <c r="V17" s="98">
        <v>590342.06999999995</v>
      </c>
      <c r="W17" s="98">
        <v>4229.07</v>
      </c>
      <c r="X17" s="102">
        <v>0.99</v>
      </c>
      <c r="Y17" s="98" t="s">
        <v>177</v>
      </c>
      <c r="Z17" s="98" t="s">
        <v>296</v>
      </c>
      <c r="AA17" s="98" t="s">
        <v>49</v>
      </c>
      <c r="AB17" s="98" t="s">
        <v>49</v>
      </c>
      <c r="AC17" s="98" t="s">
        <v>656</v>
      </c>
      <c r="AD17" s="101">
        <v>0</v>
      </c>
      <c r="AE17" s="98">
        <v>0</v>
      </c>
      <c r="AF17" s="100">
        <f t="shared" si="5"/>
        <v>0</v>
      </c>
      <c r="AG17" s="103">
        <f t="shared" ca="1" si="6"/>
        <v>-120.50833333333334</v>
      </c>
      <c r="AH17" s="100">
        <f t="shared" si="7"/>
        <v>1800</v>
      </c>
      <c r="AI17" s="98"/>
      <c r="AJ17" s="98"/>
      <c r="AK17" s="98"/>
    </row>
    <row r="18" spans="1:37" x14ac:dyDescent="0.25">
      <c r="A18" s="98">
        <v>15</v>
      </c>
      <c r="B18" s="98" t="s">
        <v>45</v>
      </c>
      <c r="C18" s="98" t="s">
        <v>687</v>
      </c>
      <c r="D18" s="99" t="s">
        <v>658</v>
      </c>
      <c r="E18" s="98" t="s">
        <v>688</v>
      </c>
      <c r="F18" s="98"/>
      <c r="G18" s="98" t="s">
        <v>135</v>
      </c>
      <c r="H18" s="98" t="s">
        <v>141</v>
      </c>
      <c r="I18" s="100">
        <v>44683</v>
      </c>
      <c r="J18" s="100">
        <v>45049</v>
      </c>
      <c r="K18" s="98">
        <f t="shared" ca="1" si="0"/>
        <v>-500</v>
      </c>
      <c r="L18" s="99" t="str">
        <f t="shared" ca="1" si="1"/>
        <v>EXPIRADO</v>
      </c>
      <c r="M18" s="100">
        <v>44683</v>
      </c>
      <c r="N18" s="98"/>
      <c r="O18" s="98">
        <f t="shared" ca="1" si="2"/>
        <v>-291</v>
      </c>
      <c r="P18" s="98" t="str">
        <f t="shared" ca="1" si="3"/>
        <v>EXPIRADO</v>
      </c>
      <c r="Q18" s="100">
        <v>44892</v>
      </c>
      <c r="R18" s="98"/>
      <c r="S18" s="98"/>
      <c r="T18" s="98">
        <f t="shared" si="4"/>
        <v>0</v>
      </c>
      <c r="U18" s="101">
        <v>405</v>
      </c>
      <c r="V18" s="98">
        <v>876573.88</v>
      </c>
      <c r="W18" s="98">
        <v>12808.17</v>
      </c>
      <c r="X18" s="102">
        <v>0.99</v>
      </c>
      <c r="Y18" s="98" t="s">
        <v>52</v>
      </c>
      <c r="Z18" s="98" t="s">
        <v>142</v>
      </c>
      <c r="AA18" s="98" t="s">
        <v>49</v>
      </c>
      <c r="AB18" s="98" t="s">
        <v>49</v>
      </c>
      <c r="AC18" s="98" t="s">
        <v>656</v>
      </c>
      <c r="AD18" s="101">
        <v>0</v>
      </c>
      <c r="AE18" s="98">
        <v>0</v>
      </c>
      <c r="AF18" s="100">
        <f t="shared" si="5"/>
        <v>44683</v>
      </c>
      <c r="AG18" s="103">
        <f t="shared" ca="1" si="6"/>
        <v>3.6111111111111112</v>
      </c>
      <c r="AH18" s="100">
        <f t="shared" si="7"/>
        <v>46483</v>
      </c>
      <c r="AI18" s="98"/>
      <c r="AJ18" s="98"/>
      <c r="AK18" s="98"/>
    </row>
    <row r="19" spans="1:37" x14ac:dyDescent="0.25">
      <c r="A19" s="98">
        <v>16</v>
      </c>
      <c r="B19" s="98" t="s">
        <v>45</v>
      </c>
      <c r="C19" s="98" t="s">
        <v>687</v>
      </c>
      <c r="D19" s="99" t="s">
        <v>658</v>
      </c>
      <c r="E19" s="98" t="s">
        <v>689</v>
      </c>
      <c r="F19" s="98"/>
      <c r="G19" s="98" t="s">
        <v>135</v>
      </c>
      <c r="H19" s="98" t="s">
        <v>141</v>
      </c>
      <c r="I19" s="100"/>
      <c r="J19" s="100">
        <v>45048</v>
      </c>
      <c r="K19" s="98">
        <f t="shared" ca="1" si="0"/>
        <v>-501</v>
      </c>
      <c r="L19" s="99" t="str">
        <f t="shared" ca="1" si="1"/>
        <v>EXPIRADO</v>
      </c>
      <c r="M19" s="100">
        <v>44682</v>
      </c>
      <c r="N19" s="98"/>
      <c r="O19" s="98">
        <f t="shared" ca="1" si="2"/>
        <v>-296</v>
      </c>
      <c r="P19" s="98" t="str">
        <f t="shared" ca="1" si="3"/>
        <v>EXPIRADO</v>
      </c>
      <c r="Q19" s="100">
        <v>44887</v>
      </c>
      <c r="R19" s="98"/>
      <c r="S19" s="98"/>
      <c r="T19" s="98">
        <f t="shared" si="4"/>
        <v>0</v>
      </c>
      <c r="U19" s="101">
        <v>405</v>
      </c>
      <c r="V19" s="98">
        <v>876573.88</v>
      </c>
      <c r="W19" s="98">
        <v>116960.13</v>
      </c>
      <c r="X19" s="102">
        <v>0.87</v>
      </c>
      <c r="Y19" s="98" t="s">
        <v>52</v>
      </c>
      <c r="Z19" s="98" t="s">
        <v>142</v>
      </c>
      <c r="AA19" s="98" t="s">
        <v>49</v>
      </c>
      <c r="AB19" s="98" t="s">
        <v>49</v>
      </c>
      <c r="AC19" s="98" t="s">
        <v>656</v>
      </c>
      <c r="AD19" s="101">
        <v>0</v>
      </c>
      <c r="AE19" s="98">
        <v>0</v>
      </c>
      <c r="AF19" s="100">
        <f t="shared" si="5"/>
        <v>0</v>
      </c>
      <c r="AG19" s="103">
        <f t="shared" ca="1" si="6"/>
        <v>-120.50833333333334</v>
      </c>
      <c r="AH19" s="100">
        <f t="shared" si="7"/>
        <v>1800</v>
      </c>
      <c r="AI19" s="98"/>
      <c r="AJ19" s="98"/>
      <c r="AK19" s="98"/>
    </row>
    <row r="20" spans="1:37" x14ac:dyDescent="0.25">
      <c r="A20" s="98">
        <v>17</v>
      </c>
      <c r="B20" s="98" t="s">
        <v>45</v>
      </c>
      <c r="C20" s="98" t="s">
        <v>690</v>
      </c>
      <c r="D20" s="99" t="s">
        <v>658</v>
      </c>
      <c r="E20" s="98" t="s">
        <v>691</v>
      </c>
      <c r="F20" s="98"/>
      <c r="G20" s="98" t="s">
        <v>60</v>
      </c>
      <c r="H20" s="98" t="s">
        <v>463</v>
      </c>
      <c r="I20" s="100">
        <v>44679</v>
      </c>
      <c r="J20" s="100">
        <v>45097</v>
      </c>
      <c r="K20" s="98">
        <f t="shared" ca="1" si="0"/>
        <v>1321</v>
      </c>
      <c r="L20" s="99" t="str">
        <f t="shared" ca="1" si="1"/>
        <v>VIGENTE</v>
      </c>
      <c r="M20" s="100">
        <v>46504</v>
      </c>
      <c r="N20" s="98"/>
      <c r="O20" s="98">
        <f t="shared" ca="1" si="2"/>
        <v>-111</v>
      </c>
      <c r="P20" s="98" t="str">
        <f t="shared" ca="1" si="3"/>
        <v>EXPIRADO</v>
      </c>
      <c r="Q20" s="100">
        <v>45072</v>
      </c>
      <c r="R20" s="98"/>
      <c r="S20" s="98"/>
      <c r="T20" s="98">
        <f t="shared" si="4"/>
        <v>0</v>
      </c>
      <c r="U20" s="101" t="s">
        <v>692</v>
      </c>
      <c r="V20" s="98">
        <v>731341.83</v>
      </c>
      <c r="W20" s="98">
        <v>407382.75</v>
      </c>
      <c r="X20" s="102">
        <v>0.44</v>
      </c>
      <c r="Y20" s="98" t="s">
        <v>52</v>
      </c>
      <c r="Z20" s="98" t="s">
        <v>142</v>
      </c>
      <c r="AA20" s="98" t="s">
        <v>49</v>
      </c>
      <c r="AB20" s="98" t="s">
        <v>49</v>
      </c>
      <c r="AC20" s="98" t="s">
        <v>656</v>
      </c>
      <c r="AD20" s="101">
        <v>0</v>
      </c>
      <c r="AE20" s="98">
        <v>0</v>
      </c>
      <c r="AF20" s="100">
        <f t="shared" si="5"/>
        <v>44679</v>
      </c>
      <c r="AG20" s="103">
        <f t="shared" ca="1" si="6"/>
        <v>3.6</v>
      </c>
      <c r="AH20" s="100">
        <f t="shared" si="7"/>
        <v>46479</v>
      </c>
      <c r="AI20" s="98"/>
      <c r="AJ20" s="98"/>
      <c r="AK20" s="98"/>
    </row>
    <row r="21" spans="1:37" x14ac:dyDescent="0.25">
      <c r="A21" s="98">
        <v>18</v>
      </c>
      <c r="B21" s="98" t="s">
        <v>45</v>
      </c>
      <c r="C21" s="98" t="s">
        <v>693</v>
      </c>
      <c r="D21" s="99" t="s">
        <v>658</v>
      </c>
      <c r="E21" s="98" t="s">
        <v>694</v>
      </c>
      <c r="F21" s="98"/>
      <c r="G21" s="98" t="s">
        <v>60</v>
      </c>
      <c r="H21" s="98" t="s">
        <v>84</v>
      </c>
      <c r="I21" s="100">
        <v>44679</v>
      </c>
      <c r="J21" s="100">
        <v>44919</v>
      </c>
      <c r="K21" s="98">
        <f t="shared" ca="1" si="0"/>
        <v>1321</v>
      </c>
      <c r="L21" s="99" t="str">
        <f t="shared" ca="1" si="1"/>
        <v>VIGENTE</v>
      </c>
      <c r="M21" s="100">
        <v>46504</v>
      </c>
      <c r="N21" s="98"/>
      <c r="O21" s="98">
        <f t="shared" ca="1" si="2"/>
        <v>-289</v>
      </c>
      <c r="P21" s="98" t="str">
        <f t="shared" ca="1" si="3"/>
        <v>EXPIRADO</v>
      </c>
      <c r="Q21" s="100">
        <v>44894</v>
      </c>
      <c r="R21" s="98"/>
      <c r="S21" s="98"/>
      <c r="T21" s="98">
        <f t="shared" si="4"/>
        <v>0</v>
      </c>
      <c r="U21" s="101" t="s">
        <v>695</v>
      </c>
      <c r="V21" s="98">
        <v>434991.8</v>
      </c>
      <c r="W21" s="98">
        <v>31945.98</v>
      </c>
      <c r="X21" s="102">
        <v>0.93</v>
      </c>
      <c r="Y21" s="98" t="s">
        <v>52</v>
      </c>
      <c r="Z21" s="98" t="s">
        <v>142</v>
      </c>
      <c r="AA21" s="98" t="s">
        <v>49</v>
      </c>
      <c r="AB21" s="98" t="s">
        <v>49</v>
      </c>
      <c r="AC21" s="98" t="s">
        <v>656</v>
      </c>
      <c r="AD21" s="101">
        <v>0</v>
      </c>
      <c r="AE21" s="98">
        <v>0</v>
      </c>
      <c r="AF21" s="100">
        <f t="shared" si="5"/>
        <v>44679</v>
      </c>
      <c r="AG21" s="103">
        <f t="shared" ca="1" si="6"/>
        <v>3.6</v>
      </c>
      <c r="AH21" s="100">
        <f t="shared" si="7"/>
        <v>46479</v>
      </c>
      <c r="AI21" s="98"/>
      <c r="AJ21" s="98"/>
      <c r="AK21" s="98"/>
    </row>
    <row r="22" spans="1:37" x14ac:dyDescent="0.25">
      <c r="A22" s="98">
        <v>19</v>
      </c>
      <c r="B22" s="98" t="s">
        <v>45</v>
      </c>
      <c r="C22" s="98" t="s">
        <v>693</v>
      </c>
      <c r="D22" s="99" t="s">
        <v>658</v>
      </c>
      <c r="E22" s="98" t="s">
        <v>696</v>
      </c>
      <c r="F22" s="98"/>
      <c r="G22" s="98" t="s">
        <v>135</v>
      </c>
      <c r="H22" s="98" t="s">
        <v>697</v>
      </c>
      <c r="I22" s="100">
        <v>44679</v>
      </c>
      <c r="J22" s="100">
        <v>44919</v>
      </c>
      <c r="K22" s="98">
        <f t="shared" ca="1" si="0"/>
        <v>1321</v>
      </c>
      <c r="L22" s="99" t="str">
        <f t="shared" ca="1" si="1"/>
        <v>VIGENTE</v>
      </c>
      <c r="M22" s="100">
        <v>46504</v>
      </c>
      <c r="N22" s="98"/>
      <c r="O22" s="98">
        <f t="shared" ca="1" si="2"/>
        <v>-289</v>
      </c>
      <c r="P22" s="98" t="str">
        <f t="shared" ca="1" si="3"/>
        <v>EXPIRADO</v>
      </c>
      <c r="Q22" s="100">
        <v>44894</v>
      </c>
      <c r="R22" s="98"/>
      <c r="S22" s="98"/>
      <c r="T22" s="98">
        <f t="shared" si="4"/>
        <v>0</v>
      </c>
      <c r="U22" s="101" t="s">
        <v>695</v>
      </c>
      <c r="V22" s="98">
        <v>434991.8</v>
      </c>
      <c r="W22" s="98">
        <v>31945.98</v>
      </c>
      <c r="X22" s="102">
        <v>0.93</v>
      </c>
      <c r="Y22" s="98" t="s">
        <v>52</v>
      </c>
      <c r="Z22" s="98" t="s">
        <v>142</v>
      </c>
      <c r="AA22" s="98" t="s">
        <v>49</v>
      </c>
      <c r="AB22" s="98" t="s">
        <v>49</v>
      </c>
      <c r="AC22" s="98" t="s">
        <v>656</v>
      </c>
      <c r="AD22" s="101">
        <v>0</v>
      </c>
      <c r="AE22" s="98">
        <v>0</v>
      </c>
      <c r="AF22" s="100">
        <f t="shared" si="5"/>
        <v>44679</v>
      </c>
      <c r="AG22" s="103">
        <f t="shared" ca="1" si="6"/>
        <v>3.6</v>
      </c>
      <c r="AH22" s="100">
        <f t="shared" si="7"/>
        <v>46479</v>
      </c>
      <c r="AI22" s="98"/>
      <c r="AJ22" s="98"/>
      <c r="AK22" s="98"/>
    </row>
    <row r="23" spans="1:37" x14ac:dyDescent="0.25">
      <c r="A23" s="98">
        <v>20</v>
      </c>
      <c r="B23" s="98" t="s">
        <v>45</v>
      </c>
      <c r="C23" s="98" t="s">
        <v>693</v>
      </c>
      <c r="D23" s="99" t="s">
        <v>658</v>
      </c>
      <c r="E23" s="98" t="s">
        <v>698</v>
      </c>
      <c r="F23" s="98"/>
      <c r="G23" s="98" t="s">
        <v>60</v>
      </c>
      <c r="H23" s="98" t="s">
        <v>61</v>
      </c>
      <c r="I23" s="100">
        <v>44679</v>
      </c>
      <c r="J23" s="100">
        <v>44919</v>
      </c>
      <c r="K23" s="98">
        <f t="shared" ca="1" si="0"/>
        <v>1321</v>
      </c>
      <c r="L23" s="99" t="str">
        <f t="shared" ca="1" si="1"/>
        <v>VIGENTE</v>
      </c>
      <c r="M23" s="100">
        <v>46504</v>
      </c>
      <c r="N23" s="98"/>
      <c r="O23" s="98">
        <f t="shared" ca="1" si="2"/>
        <v>-292</v>
      </c>
      <c r="P23" s="98" t="str">
        <f t="shared" ca="1" si="3"/>
        <v>EXPIRADO</v>
      </c>
      <c r="Q23" s="100">
        <v>44891</v>
      </c>
      <c r="R23" s="98"/>
      <c r="S23" s="98"/>
      <c r="T23" s="98">
        <f t="shared" si="4"/>
        <v>0</v>
      </c>
      <c r="U23" s="101" t="s">
        <v>695</v>
      </c>
      <c r="V23" s="98">
        <v>434991.8</v>
      </c>
      <c r="W23" s="98">
        <v>31945.98</v>
      </c>
      <c r="X23" s="102">
        <v>0.93</v>
      </c>
      <c r="Y23" s="98" t="s">
        <v>52</v>
      </c>
      <c r="Z23" s="98" t="s">
        <v>142</v>
      </c>
      <c r="AA23" s="98" t="s">
        <v>49</v>
      </c>
      <c r="AB23" s="98" t="s">
        <v>49</v>
      </c>
      <c r="AC23" s="98" t="s">
        <v>656</v>
      </c>
      <c r="AD23" s="101">
        <v>0</v>
      </c>
      <c r="AE23" s="98">
        <v>0</v>
      </c>
      <c r="AF23" s="100">
        <f t="shared" si="5"/>
        <v>44679</v>
      </c>
      <c r="AG23" s="103">
        <f t="shared" ca="1" si="6"/>
        <v>3.6</v>
      </c>
      <c r="AH23" s="100">
        <f t="shared" si="7"/>
        <v>46479</v>
      </c>
      <c r="AI23" s="98"/>
      <c r="AJ23" s="98"/>
      <c r="AK23" s="98"/>
    </row>
    <row r="24" spans="1:37" ht="13.5" customHeight="1" x14ac:dyDescent="0.25">
      <c r="A24" s="98">
        <v>21</v>
      </c>
      <c r="B24" s="98" t="s">
        <v>45</v>
      </c>
      <c r="C24" s="98" t="s">
        <v>699</v>
      </c>
      <c r="D24" s="99" t="s">
        <v>700</v>
      </c>
      <c r="E24" s="98" t="s">
        <v>701</v>
      </c>
      <c r="F24" s="98"/>
      <c r="G24" s="98" t="s">
        <v>60</v>
      </c>
      <c r="H24" s="98" t="s">
        <v>463</v>
      </c>
      <c r="I24" s="100">
        <v>44663</v>
      </c>
      <c r="J24" s="100">
        <v>44996</v>
      </c>
      <c r="K24" s="98">
        <f t="shared" ca="1" si="0"/>
        <v>1305</v>
      </c>
      <c r="L24" s="99" t="str">
        <f t="shared" ca="1" si="1"/>
        <v>VIGENTE</v>
      </c>
      <c r="M24" s="100">
        <v>46488</v>
      </c>
      <c r="N24" s="98"/>
      <c r="O24" s="98">
        <f t="shared" ca="1" si="2"/>
        <v>-235</v>
      </c>
      <c r="P24" s="98" t="str">
        <f t="shared" ca="1" si="3"/>
        <v>EXPIRADO</v>
      </c>
      <c r="Q24" s="100">
        <v>44948</v>
      </c>
      <c r="R24" s="98"/>
      <c r="S24" s="98"/>
      <c r="T24" s="98">
        <f t="shared" si="4"/>
        <v>0</v>
      </c>
      <c r="U24" s="105" t="s">
        <v>702</v>
      </c>
      <c r="V24" s="98">
        <v>248688.24</v>
      </c>
      <c r="W24" s="98">
        <v>57118.39</v>
      </c>
      <c r="X24" s="102">
        <v>0.77</v>
      </c>
      <c r="Y24" s="98" t="s">
        <v>62</v>
      </c>
      <c r="Z24" s="98" t="s">
        <v>126</v>
      </c>
      <c r="AA24" s="98" t="s">
        <v>49</v>
      </c>
      <c r="AB24" s="98" t="s">
        <v>49</v>
      </c>
      <c r="AC24" s="98" t="s">
        <v>656</v>
      </c>
      <c r="AD24" s="101">
        <v>1</v>
      </c>
      <c r="AE24" s="98">
        <v>0</v>
      </c>
      <c r="AF24" s="100">
        <f t="shared" si="5"/>
        <v>44663</v>
      </c>
      <c r="AG24" s="103">
        <f t="shared" ca="1" si="6"/>
        <v>3.5555555555555554</v>
      </c>
      <c r="AH24" s="100">
        <f t="shared" si="7"/>
        <v>46463</v>
      </c>
      <c r="AI24" s="98"/>
      <c r="AJ24" s="98"/>
      <c r="AK24" s="98"/>
    </row>
    <row r="25" spans="1:37" ht="13.5" customHeight="1" x14ac:dyDescent="0.25">
      <c r="A25" s="98">
        <v>22</v>
      </c>
      <c r="B25" s="98" t="s">
        <v>447</v>
      </c>
      <c r="C25" s="98" t="s">
        <v>703</v>
      </c>
      <c r="D25" s="99" t="s">
        <v>81</v>
      </c>
      <c r="E25" s="98" t="s">
        <v>704</v>
      </c>
      <c r="F25" s="98"/>
      <c r="G25" s="98" t="s">
        <v>71</v>
      </c>
      <c r="H25" s="98" t="s">
        <v>71</v>
      </c>
      <c r="I25" s="100">
        <v>44734</v>
      </c>
      <c r="J25" s="100">
        <v>44734</v>
      </c>
      <c r="K25" s="98">
        <f t="shared" ca="1" si="0"/>
        <v>-269</v>
      </c>
      <c r="L25" s="99" t="str">
        <f t="shared" ca="1" si="1"/>
        <v>EXPIRADO</v>
      </c>
      <c r="M25" s="100">
        <v>44914</v>
      </c>
      <c r="N25" s="98"/>
      <c r="O25" s="98" t="str">
        <f t="shared" ca="1" si="2"/>
        <v/>
      </c>
      <c r="P25" s="98" t="str">
        <f t="shared" ca="1" si="3"/>
        <v>VIGENTE</v>
      </c>
      <c r="Q25" s="100"/>
      <c r="R25" s="98"/>
      <c r="S25" s="98"/>
      <c r="T25" s="98">
        <v>0</v>
      </c>
      <c r="U25" s="106" t="s">
        <v>705</v>
      </c>
      <c r="V25" s="98">
        <v>2944247.43</v>
      </c>
      <c r="W25" s="98">
        <v>253123.28</v>
      </c>
      <c r="X25" s="102">
        <v>0.91</v>
      </c>
      <c r="Y25" s="98" t="s">
        <v>706</v>
      </c>
      <c r="Z25" s="98" t="s">
        <v>49</v>
      </c>
      <c r="AA25" s="98" t="s">
        <v>49</v>
      </c>
      <c r="AB25" s="98" t="s">
        <v>49</v>
      </c>
      <c r="AC25" s="98" t="s">
        <v>656</v>
      </c>
      <c r="AD25" s="101">
        <v>0</v>
      </c>
      <c r="AE25" s="98">
        <v>0</v>
      </c>
      <c r="AF25" s="100"/>
      <c r="AG25" s="103"/>
      <c r="AH25" s="100"/>
      <c r="AI25" s="98"/>
      <c r="AJ25" s="98"/>
      <c r="AK25" s="98"/>
    </row>
    <row r="26" spans="1:37" x14ac:dyDescent="0.25">
      <c r="A26" s="98">
        <v>23</v>
      </c>
      <c r="B26" s="98" t="s">
        <v>45</v>
      </c>
      <c r="C26" s="98" t="s">
        <v>707</v>
      </c>
      <c r="D26" s="99" t="s">
        <v>708</v>
      </c>
      <c r="E26" s="98" t="s">
        <v>709</v>
      </c>
      <c r="F26" s="98"/>
      <c r="G26" s="98" t="s">
        <v>71</v>
      </c>
      <c r="H26" s="98" t="s">
        <v>71</v>
      </c>
      <c r="I26" s="100">
        <v>44595</v>
      </c>
      <c r="J26" s="100">
        <v>44595</v>
      </c>
      <c r="K26" s="98">
        <f t="shared" ca="1" si="0"/>
        <v>-498</v>
      </c>
      <c r="L26" s="99" t="str">
        <f t="shared" ca="1" si="1"/>
        <v>EXPIRADO</v>
      </c>
      <c r="M26" s="100">
        <f>J26+90</f>
        <v>44685</v>
      </c>
      <c r="N26" s="98">
        <v>44595</v>
      </c>
      <c r="O26" s="98">
        <f t="shared" ca="1" si="2"/>
        <v>-408</v>
      </c>
      <c r="P26" s="98" t="str">
        <f t="shared" ca="1" si="3"/>
        <v>EXPIRADO</v>
      </c>
      <c r="Q26" s="100">
        <v>44775</v>
      </c>
      <c r="R26" s="98"/>
      <c r="S26" s="98"/>
      <c r="T26" s="98">
        <v>0</v>
      </c>
      <c r="U26" s="101">
        <v>80</v>
      </c>
      <c r="V26" s="98">
        <v>3125</v>
      </c>
      <c r="W26" s="98">
        <v>0</v>
      </c>
      <c r="X26" s="102">
        <v>0</v>
      </c>
      <c r="Y26" s="98"/>
      <c r="Z26" s="98" t="s">
        <v>49</v>
      </c>
      <c r="AA26" s="98" t="s">
        <v>49</v>
      </c>
      <c r="AB26" s="98" t="s">
        <v>49</v>
      </c>
      <c r="AC26" s="98" t="s">
        <v>656</v>
      </c>
      <c r="AD26" s="101">
        <v>0</v>
      </c>
      <c r="AE26" s="98">
        <v>0</v>
      </c>
      <c r="AF26" s="100"/>
      <c r="AG26" s="103"/>
      <c r="AH26" s="100"/>
      <c r="AI26" s="98"/>
      <c r="AJ26" s="98"/>
      <c r="AK26" s="98"/>
    </row>
    <row r="27" spans="1:37" ht="12.75" customHeight="1" x14ac:dyDescent="0.25">
      <c r="A27" s="98">
        <v>24</v>
      </c>
      <c r="B27" s="98" t="s">
        <v>45</v>
      </c>
      <c r="C27" s="107" t="s">
        <v>710</v>
      </c>
      <c r="D27" s="99" t="s">
        <v>454</v>
      </c>
      <c r="E27" s="98" t="s">
        <v>711</v>
      </c>
      <c r="F27" s="98"/>
      <c r="G27" s="98" t="s">
        <v>117</v>
      </c>
      <c r="H27" s="98" t="s">
        <v>118</v>
      </c>
      <c r="I27" s="100">
        <v>44384</v>
      </c>
      <c r="J27" s="100">
        <v>45014</v>
      </c>
      <c r="K27" s="98">
        <f t="shared" ca="1" si="0"/>
        <v>-140</v>
      </c>
      <c r="L27" s="99" t="str">
        <f t="shared" ca="1" si="1"/>
        <v>EXPIRADO</v>
      </c>
      <c r="M27" s="100">
        <v>45043</v>
      </c>
      <c r="N27" s="100">
        <v>44902</v>
      </c>
      <c r="O27" s="98">
        <v>-94</v>
      </c>
      <c r="P27" s="98" t="str">
        <f t="shared" si="3"/>
        <v>EXPIRADO</v>
      </c>
      <c r="Q27" s="100">
        <v>44989</v>
      </c>
      <c r="R27" s="98"/>
      <c r="S27" s="98"/>
      <c r="T27" s="98">
        <v>0</v>
      </c>
      <c r="U27" s="108" t="s">
        <v>712</v>
      </c>
      <c r="V27" s="109">
        <v>6164659.2999999998</v>
      </c>
      <c r="W27" s="98">
        <v>637707.64</v>
      </c>
      <c r="X27" s="102">
        <v>0.9</v>
      </c>
      <c r="Y27" s="98" t="s">
        <v>62</v>
      </c>
      <c r="Z27" s="98"/>
      <c r="AA27" s="98" t="s">
        <v>49</v>
      </c>
      <c r="AB27" s="98" t="s">
        <v>49</v>
      </c>
      <c r="AC27" s="98" t="s">
        <v>80</v>
      </c>
      <c r="AD27" s="101">
        <v>7</v>
      </c>
      <c r="AE27" s="98">
        <v>0</v>
      </c>
      <c r="AF27" s="100">
        <v>44384</v>
      </c>
      <c r="AG27" s="103">
        <v>3</v>
      </c>
      <c r="AH27" s="100">
        <v>46184</v>
      </c>
      <c r="AI27" s="98"/>
      <c r="AJ27" s="98"/>
      <c r="AK27" s="32" t="s">
        <v>713</v>
      </c>
    </row>
    <row r="28" spans="1:37" ht="13.5" customHeight="1" x14ac:dyDescent="0.25">
      <c r="A28" s="98">
        <v>25</v>
      </c>
      <c r="B28" s="98" t="s">
        <v>45</v>
      </c>
      <c r="C28" s="107" t="s">
        <v>714</v>
      </c>
      <c r="D28" s="99" t="s">
        <v>173</v>
      </c>
      <c r="E28" s="98" t="s">
        <v>715</v>
      </c>
      <c r="F28" s="98"/>
      <c r="G28" s="98" t="s">
        <v>50</v>
      </c>
      <c r="H28" s="98" t="s">
        <v>716</v>
      </c>
      <c r="I28" s="100">
        <v>43616</v>
      </c>
      <c r="J28" s="100">
        <v>44773</v>
      </c>
      <c r="K28" s="98">
        <f t="shared" ca="1" si="0"/>
        <v>-46</v>
      </c>
      <c r="L28" s="99" t="str">
        <f t="shared" ca="1" si="1"/>
        <v>EXPIRADO</v>
      </c>
      <c r="M28" s="100">
        <v>45137</v>
      </c>
      <c r="N28" s="100">
        <v>43992</v>
      </c>
      <c r="O28" s="98">
        <f t="shared" ref="O28:O38" ca="1" si="8">IF(Q28="","",Q28-TODAY())</f>
        <v>-95</v>
      </c>
      <c r="P28" s="98" t="str">
        <f t="shared" ca="1" si="3"/>
        <v>EXPIRADO</v>
      </c>
      <c r="Q28" s="100">
        <v>45088</v>
      </c>
      <c r="R28" s="98"/>
      <c r="S28" s="98"/>
      <c r="T28" s="98">
        <v>0</v>
      </c>
      <c r="U28" s="108" t="s">
        <v>717</v>
      </c>
      <c r="V28" s="109">
        <v>3938740.05</v>
      </c>
      <c r="W28" s="98">
        <v>52332.41</v>
      </c>
      <c r="X28" s="102">
        <v>0.99</v>
      </c>
      <c r="Y28" s="98" t="s">
        <v>126</v>
      </c>
      <c r="Z28" s="98"/>
      <c r="AA28" s="98" t="s">
        <v>49</v>
      </c>
      <c r="AB28" s="98" t="s">
        <v>49</v>
      </c>
      <c r="AC28" s="98" t="s">
        <v>80</v>
      </c>
      <c r="AD28" s="101">
        <v>6</v>
      </c>
      <c r="AE28" s="98">
        <v>1</v>
      </c>
      <c r="AF28" s="100">
        <v>43616</v>
      </c>
      <c r="AG28" s="103">
        <v>1</v>
      </c>
      <c r="AH28" s="110">
        <f>AF28+1800</f>
        <v>45416</v>
      </c>
      <c r="AI28" s="98"/>
      <c r="AJ28" s="98"/>
      <c r="AK28" s="32"/>
    </row>
    <row r="29" spans="1:37" ht="13.5" customHeight="1" x14ac:dyDescent="0.25">
      <c r="A29" s="98">
        <v>26</v>
      </c>
      <c r="B29" s="98" t="s">
        <v>45</v>
      </c>
      <c r="C29" s="107" t="s">
        <v>718</v>
      </c>
      <c r="D29" s="99" t="s">
        <v>719</v>
      </c>
      <c r="E29" s="98" t="s">
        <v>720</v>
      </c>
      <c r="F29" s="98"/>
      <c r="G29" s="98" t="s">
        <v>135</v>
      </c>
      <c r="H29" s="98" t="s">
        <v>136</v>
      </c>
      <c r="I29" s="100">
        <v>44013</v>
      </c>
      <c r="J29" s="100">
        <v>44866</v>
      </c>
      <c r="K29" s="98">
        <f t="shared" ca="1" si="0"/>
        <v>-137</v>
      </c>
      <c r="L29" s="99" t="str">
        <f t="shared" ca="1" si="1"/>
        <v>EXPIRADO</v>
      </c>
      <c r="M29" s="111">
        <v>45046</v>
      </c>
      <c r="N29" s="110">
        <v>44522</v>
      </c>
      <c r="O29" s="98">
        <f t="shared" ca="1" si="8"/>
        <v>-542</v>
      </c>
      <c r="P29" s="98" t="str">
        <f t="shared" ca="1" si="3"/>
        <v>EXPIRADO</v>
      </c>
      <c r="Q29" s="100">
        <v>44641</v>
      </c>
      <c r="R29" s="98"/>
      <c r="S29" s="98"/>
      <c r="T29" s="98">
        <v>0</v>
      </c>
      <c r="U29" s="108">
        <v>402</v>
      </c>
      <c r="V29" s="109">
        <v>1304495.73</v>
      </c>
      <c r="W29" s="98">
        <v>13274.52</v>
      </c>
      <c r="X29" s="102">
        <v>0.99</v>
      </c>
      <c r="Y29" s="98" t="s">
        <v>664</v>
      </c>
      <c r="Z29" s="23" t="s">
        <v>102</v>
      </c>
      <c r="AA29" s="98" t="s">
        <v>49</v>
      </c>
      <c r="AB29" s="98" t="s">
        <v>49</v>
      </c>
      <c r="AC29" s="98" t="s">
        <v>80</v>
      </c>
      <c r="AD29" s="101">
        <v>7</v>
      </c>
      <c r="AE29" s="98">
        <v>0</v>
      </c>
      <c r="AF29" s="100">
        <v>44013</v>
      </c>
      <c r="AG29" s="103">
        <v>2</v>
      </c>
      <c r="AH29" s="110">
        <v>45813</v>
      </c>
      <c r="AI29" s="98"/>
      <c r="AJ29" s="98"/>
      <c r="AK29" s="32"/>
    </row>
    <row r="30" spans="1:37" ht="13.5" customHeight="1" x14ac:dyDescent="0.25">
      <c r="A30" s="98">
        <v>27</v>
      </c>
      <c r="B30" s="98" t="s">
        <v>45</v>
      </c>
      <c r="C30" s="107" t="s">
        <v>721</v>
      </c>
      <c r="D30" s="107" t="s">
        <v>488</v>
      </c>
      <c r="E30" s="98" t="s">
        <v>722</v>
      </c>
      <c r="F30" s="98"/>
      <c r="G30" s="98" t="s">
        <v>60</v>
      </c>
      <c r="H30" s="98" t="s">
        <v>723</v>
      </c>
      <c r="I30" s="111">
        <v>44790</v>
      </c>
      <c r="J30" s="111">
        <v>44790</v>
      </c>
      <c r="K30" s="98">
        <f t="shared" ca="1" si="0"/>
        <v>-121</v>
      </c>
      <c r="L30" s="99" t="str">
        <f t="shared" ca="1" si="1"/>
        <v>EXPIRADO</v>
      </c>
      <c r="M30" s="111">
        <v>45062</v>
      </c>
      <c r="N30" s="111">
        <v>44790</v>
      </c>
      <c r="O30" s="98">
        <f t="shared" ca="1" si="8"/>
        <v>-210</v>
      </c>
      <c r="P30" s="98" t="str">
        <f t="shared" ca="1" si="3"/>
        <v>EXPIRADO</v>
      </c>
      <c r="Q30" s="110">
        <v>44973</v>
      </c>
      <c r="R30" s="98"/>
      <c r="S30" s="98"/>
      <c r="T30" s="98">
        <v>0</v>
      </c>
      <c r="U30" s="112">
        <v>404</v>
      </c>
      <c r="V30" s="113">
        <v>282829.05</v>
      </c>
      <c r="W30" s="98">
        <v>0</v>
      </c>
      <c r="X30" s="102">
        <v>0</v>
      </c>
      <c r="Y30" s="98" t="s">
        <v>63</v>
      </c>
      <c r="Z30" s="23" t="s">
        <v>153</v>
      </c>
      <c r="AA30" s="98" t="s">
        <v>49</v>
      </c>
      <c r="AB30" s="98" t="s">
        <v>49</v>
      </c>
      <c r="AC30" s="98" t="s">
        <v>80</v>
      </c>
      <c r="AD30" s="101">
        <v>0</v>
      </c>
      <c r="AE30" s="98">
        <v>0</v>
      </c>
      <c r="AF30" s="114">
        <v>44790</v>
      </c>
      <c r="AG30" s="103">
        <v>4</v>
      </c>
      <c r="AH30" s="110">
        <v>46590</v>
      </c>
      <c r="AI30" s="98"/>
      <c r="AJ30" s="98"/>
      <c r="AK30" s="32"/>
    </row>
    <row r="31" spans="1:37" ht="13.5" customHeight="1" x14ac:dyDescent="0.25">
      <c r="A31" s="98">
        <v>28</v>
      </c>
      <c r="B31" s="98" t="s">
        <v>45</v>
      </c>
      <c r="C31" s="107" t="s">
        <v>724</v>
      </c>
      <c r="D31" s="107" t="s">
        <v>725</v>
      </c>
      <c r="E31" s="98" t="s">
        <v>726</v>
      </c>
      <c r="F31" s="98"/>
      <c r="G31" s="98" t="s">
        <v>50</v>
      </c>
      <c r="H31" s="98" t="s">
        <v>727</v>
      </c>
      <c r="I31" s="111">
        <v>44708</v>
      </c>
      <c r="J31" s="111">
        <v>45043</v>
      </c>
      <c r="K31" s="98">
        <f t="shared" ca="1" si="0"/>
        <v>-81</v>
      </c>
      <c r="L31" s="99" t="str">
        <f t="shared" ca="1" si="1"/>
        <v>EXPIRADO</v>
      </c>
      <c r="M31" s="110">
        <v>45102</v>
      </c>
      <c r="N31" s="111">
        <v>45003</v>
      </c>
      <c r="O31" s="98">
        <f t="shared" ca="1" si="8"/>
        <v>-121</v>
      </c>
      <c r="P31" s="98" t="str">
        <f t="shared" ca="1" si="3"/>
        <v>EXPIRADO</v>
      </c>
      <c r="Q31" s="110">
        <v>45062</v>
      </c>
      <c r="R31" s="98"/>
      <c r="S31" s="98"/>
      <c r="T31" s="98">
        <v>0</v>
      </c>
      <c r="U31" s="112">
        <v>405</v>
      </c>
      <c r="V31" s="113">
        <v>2276841.61</v>
      </c>
      <c r="W31" s="115">
        <v>439974.86</v>
      </c>
      <c r="X31" s="102">
        <v>1.24</v>
      </c>
      <c r="Y31" s="23" t="s">
        <v>126</v>
      </c>
      <c r="Z31" s="23" t="s">
        <v>296</v>
      </c>
      <c r="AA31" s="98" t="s">
        <v>49</v>
      </c>
      <c r="AB31" s="98" t="s">
        <v>49</v>
      </c>
      <c r="AC31" s="98" t="s">
        <v>80</v>
      </c>
      <c r="AD31" s="101">
        <v>2</v>
      </c>
      <c r="AE31" s="98">
        <v>0</v>
      </c>
      <c r="AF31" s="114">
        <v>44708</v>
      </c>
      <c r="AG31" s="116">
        <f ca="1">(IF(AH31="","",AH31-TODAY()))/360</f>
        <v>3.6805555555555554</v>
      </c>
      <c r="AH31" s="111">
        <f>AF31+1800</f>
        <v>46508</v>
      </c>
      <c r="AI31" s="98"/>
      <c r="AJ31" s="98"/>
      <c r="AK31" s="32" t="s">
        <v>728</v>
      </c>
    </row>
    <row r="32" spans="1:37" ht="13.5" customHeight="1" x14ac:dyDescent="0.25">
      <c r="A32" s="98">
        <v>29</v>
      </c>
      <c r="B32" s="98" t="s">
        <v>45</v>
      </c>
      <c r="C32" s="117" t="s">
        <v>729</v>
      </c>
      <c r="D32" s="118" t="s">
        <v>730</v>
      </c>
      <c r="E32" s="99" t="s">
        <v>731</v>
      </c>
      <c r="F32" s="119"/>
      <c r="G32" s="99" t="s">
        <v>50</v>
      </c>
      <c r="H32" s="99" t="s">
        <v>732</v>
      </c>
      <c r="I32" s="110">
        <v>44700</v>
      </c>
      <c r="J32" s="111">
        <v>45090</v>
      </c>
      <c r="K32" s="119">
        <f t="shared" ca="1" si="0"/>
        <v>-4</v>
      </c>
      <c r="L32" s="99" t="str">
        <f t="shared" ca="1" si="1"/>
        <v>EXPIRADO</v>
      </c>
      <c r="M32" s="110">
        <v>45179</v>
      </c>
      <c r="N32" s="110">
        <v>45104</v>
      </c>
      <c r="O32" s="101">
        <f t="shared" ca="1" si="8"/>
        <v>-82</v>
      </c>
      <c r="P32" s="99" t="str">
        <f t="shared" ca="1" si="3"/>
        <v>EXPIRADO</v>
      </c>
      <c r="Q32" s="110">
        <v>45101</v>
      </c>
      <c r="R32" s="119"/>
      <c r="S32" s="119"/>
      <c r="T32" s="101">
        <v>0</v>
      </c>
      <c r="U32" s="112" t="s">
        <v>194</v>
      </c>
      <c r="V32" s="120">
        <v>4367496.8099999996</v>
      </c>
      <c r="W32" s="121"/>
      <c r="X32" s="122">
        <f>[66]CADASTRO!$C$32</f>
        <v>0.62906059455141305</v>
      </c>
      <c r="Y32" s="123" t="s">
        <v>187</v>
      </c>
      <c r="Z32" s="123" t="s">
        <v>62</v>
      </c>
      <c r="AA32" s="119" t="s">
        <v>49</v>
      </c>
      <c r="AB32" s="119" t="s">
        <v>49</v>
      </c>
      <c r="AC32" s="99" t="s">
        <v>80</v>
      </c>
      <c r="AD32" s="101">
        <v>3</v>
      </c>
      <c r="AE32" s="119">
        <v>0</v>
      </c>
      <c r="AF32" s="114">
        <v>44700</v>
      </c>
      <c r="AG32" s="124">
        <f ca="1">(IF(AH32="","",AH32-TODAY()))/360</f>
        <v>3.6583333333333332</v>
      </c>
      <c r="AH32" s="110">
        <f>AF32+1800</f>
        <v>46500</v>
      </c>
      <c r="AI32" s="98"/>
      <c r="AJ32" s="98"/>
      <c r="AK32" s="32" t="s">
        <v>733</v>
      </c>
    </row>
    <row r="33" spans="1:37" ht="13.5" customHeight="1" x14ac:dyDescent="0.25">
      <c r="A33" s="98">
        <v>30</v>
      </c>
      <c r="B33" s="98" t="s">
        <v>45</v>
      </c>
      <c r="C33" s="24" t="s">
        <v>734</v>
      </c>
      <c r="D33" s="107" t="s">
        <v>75</v>
      </c>
      <c r="E33" s="107" t="s">
        <v>735</v>
      </c>
      <c r="F33" s="25"/>
      <c r="G33" s="98" t="s">
        <v>135</v>
      </c>
      <c r="H33" s="98" t="s">
        <v>141</v>
      </c>
      <c r="I33" s="110">
        <v>44663</v>
      </c>
      <c r="J33" s="111">
        <v>45058</v>
      </c>
      <c r="K33" s="119">
        <f t="shared" ca="1" si="0"/>
        <v>-65</v>
      </c>
      <c r="L33" s="99" t="str">
        <f t="shared" ca="1" si="1"/>
        <v>EXPIRADO</v>
      </c>
      <c r="M33" s="125">
        <v>45118</v>
      </c>
      <c r="N33" s="126">
        <v>44982</v>
      </c>
      <c r="O33" s="101">
        <f t="shared" ca="1" si="8"/>
        <v>-143</v>
      </c>
      <c r="P33" s="99" t="str">
        <f t="shared" ca="1" si="3"/>
        <v>EXPIRADO</v>
      </c>
      <c r="Q33" s="110">
        <v>45040</v>
      </c>
      <c r="R33" s="98"/>
      <c r="S33" s="98"/>
      <c r="T33" s="98">
        <v>0</v>
      </c>
      <c r="U33" s="112" t="s">
        <v>736</v>
      </c>
      <c r="V33" s="120">
        <v>1398057.99</v>
      </c>
      <c r="W33" s="127">
        <f>[67]CADASTRO!$C$31</f>
        <v>356.85000000009302</v>
      </c>
      <c r="X33" s="122">
        <f>[67]CADASTRO!$C$32</f>
        <v>0.99974097015123997</v>
      </c>
      <c r="Y33" s="123" t="s">
        <v>296</v>
      </c>
      <c r="Z33" s="123" t="s">
        <v>235</v>
      </c>
      <c r="AA33" s="99" t="s">
        <v>49</v>
      </c>
      <c r="AB33" s="99" t="s">
        <v>49</v>
      </c>
      <c r="AC33" s="98" t="s">
        <v>80</v>
      </c>
      <c r="AD33" s="101">
        <v>5</v>
      </c>
      <c r="AE33" s="98">
        <v>1</v>
      </c>
      <c r="AF33" s="110">
        <v>45055</v>
      </c>
      <c r="AG33" s="116">
        <f ca="1">(IF(AH33="","",AH33-TODAY()))/360</f>
        <v>4.6444444444444448</v>
      </c>
      <c r="AH33" s="110">
        <f>AF33+1800</f>
        <v>46855</v>
      </c>
      <c r="AI33" s="98"/>
      <c r="AJ33" s="98"/>
      <c r="AK33" s="32"/>
    </row>
    <row r="34" spans="1:37" ht="13.5" customHeight="1" x14ac:dyDescent="0.25">
      <c r="A34" s="98">
        <v>31</v>
      </c>
      <c r="B34" s="98" t="s">
        <v>45</v>
      </c>
      <c r="C34" s="22" t="s">
        <v>737</v>
      </c>
      <c r="D34" s="107" t="s">
        <v>281</v>
      </c>
      <c r="E34" s="98" t="s">
        <v>738</v>
      </c>
      <c r="F34" s="98"/>
      <c r="G34" s="98" t="s">
        <v>78</v>
      </c>
      <c r="H34" s="98" t="s">
        <v>112</v>
      </c>
      <c r="I34" s="128">
        <v>44918</v>
      </c>
      <c r="J34" s="111">
        <v>44918</v>
      </c>
      <c r="K34" s="119">
        <f t="shared" ca="1" si="0"/>
        <v>4</v>
      </c>
      <c r="L34" s="99" t="str">
        <f t="shared" ca="1" si="1"/>
        <v>ADITAR</v>
      </c>
      <c r="M34" s="110">
        <v>45187</v>
      </c>
      <c r="N34" s="111">
        <v>44942</v>
      </c>
      <c r="O34" s="101">
        <f t="shared" ca="1" si="8"/>
        <v>-59</v>
      </c>
      <c r="P34" s="99" t="str">
        <f t="shared" ca="1" si="3"/>
        <v>EXPIRADO</v>
      </c>
      <c r="Q34" s="110">
        <v>45124</v>
      </c>
      <c r="R34" s="98"/>
      <c r="S34" s="98"/>
      <c r="T34" s="98">
        <v>0</v>
      </c>
      <c r="U34" s="112">
        <v>420</v>
      </c>
      <c r="V34" s="113">
        <v>433798.06</v>
      </c>
      <c r="W34" s="129">
        <v>165885.79</v>
      </c>
      <c r="X34" s="130">
        <v>0.62</v>
      </c>
      <c r="Y34" s="98" t="s">
        <v>242</v>
      </c>
      <c r="Z34" s="23" t="s">
        <v>142</v>
      </c>
      <c r="AA34" s="99" t="s">
        <v>49</v>
      </c>
      <c r="AB34" s="99" t="s">
        <v>49</v>
      </c>
      <c r="AC34" s="98" t="s">
        <v>80</v>
      </c>
      <c r="AD34" s="101">
        <v>0</v>
      </c>
      <c r="AE34" s="98">
        <v>0</v>
      </c>
      <c r="AF34" s="114">
        <v>44918</v>
      </c>
      <c r="AG34" s="103">
        <v>4</v>
      </c>
      <c r="AH34" s="110">
        <v>46718</v>
      </c>
      <c r="AI34" s="98"/>
      <c r="AJ34" s="98"/>
      <c r="AK34" s="32"/>
    </row>
    <row r="35" spans="1:37" ht="13.5" customHeight="1" x14ac:dyDescent="0.25">
      <c r="A35" s="98">
        <v>32</v>
      </c>
      <c r="B35" s="98" t="s">
        <v>45</v>
      </c>
      <c r="C35" s="131" t="s">
        <v>739</v>
      </c>
      <c r="D35" s="107" t="s">
        <v>81</v>
      </c>
      <c r="E35" s="98" t="s">
        <v>740</v>
      </c>
      <c r="F35" s="98"/>
      <c r="G35" s="98" t="s">
        <v>71</v>
      </c>
      <c r="H35" s="98" t="s">
        <v>71</v>
      </c>
      <c r="I35" s="128">
        <v>44907</v>
      </c>
      <c r="J35" s="111">
        <v>44907</v>
      </c>
      <c r="K35" s="119">
        <f t="shared" ca="1" si="0"/>
        <v>-96</v>
      </c>
      <c r="L35" s="99" t="str">
        <f t="shared" ca="1" si="1"/>
        <v>EXPIRADO</v>
      </c>
      <c r="M35" s="111">
        <v>45087</v>
      </c>
      <c r="N35" s="111">
        <v>44911</v>
      </c>
      <c r="O35" s="101">
        <f t="shared" ca="1" si="8"/>
        <v>-92</v>
      </c>
      <c r="P35" s="99" t="str">
        <f t="shared" ca="1" si="3"/>
        <v>EXPIRADO</v>
      </c>
      <c r="Q35" s="110">
        <v>45091</v>
      </c>
      <c r="R35" s="98"/>
      <c r="S35" s="98"/>
      <c r="T35" s="98">
        <v>0</v>
      </c>
      <c r="U35" s="112">
        <v>420</v>
      </c>
      <c r="V35" s="127">
        <v>5038475.43</v>
      </c>
      <c r="W35" s="127">
        <f>[68]CADASTRO!$C$31</f>
        <v>4193901.42</v>
      </c>
      <c r="X35" s="130">
        <v>0.38</v>
      </c>
      <c r="Y35" s="98" t="s">
        <v>49</v>
      </c>
      <c r="Z35" s="23" t="s">
        <v>49</v>
      </c>
      <c r="AA35" s="99" t="s">
        <v>49</v>
      </c>
      <c r="AB35" s="99" t="s">
        <v>49</v>
      </c>
      <c r="AC35" s="98" t="s">
        <v>80</v>
      </c>
      <c r="AD35" s="101">
        <v>2</v>
      </c>
      <c r="AE35" s="98">
        <v>0</v>
      </c>
      <c r="AF35" s="114">
        <v>44907</v>
      </c>
      <c r="AG35" s="103">
        <v>4</v>
      </c>
      <c r="AH35" s="110">
        <v>46707</v>
      </c>
      <c r="AI35" s="98"/>
      <c r="AJ35" s="98"/>
      <c r="AK35" s="32"/>
    </row>
    <row r="36" spans="1:37" ht="13.5" customHeight="1" x14ac:dyDescent="0.25">
      <c r="A36" s="98">
        <v>33</v>
      </c>
      <c r="B36" s="98" t="s">
        <v>45</v>
      </c>
      <c r="C36" s="131" t="s">
        <v>741</v>
      </c>
      <c r="D36" s="107" t="s">
        <v>742</v>
      </c>
      <c r="E36" s="98" t="s">
        <v>743</v>
      </c>
      <c r="F36" s="98"/>
      <c r="G36" s="98" t="s">
        <v>71</v>
      </c>
      <c r="H36" s="98" t="s">
        <v>71</v>
      </c>
      <c r="I36" s="128">
        <v>45014</v>
      </c>
      <c r="J36" s="111">
        <v>45014</v>
      </c>
      <c r="K36" s="119">
        <f t="shared" ca="1" si="0"/>
        <v>11</v>
      </c>
      <c r="L36" s="99" t="str">
        <f t="shared" ca="1" si="1"/>
        <v>ADITAR</v>
      </c>
      <c r="M36" s="111">
        <v>45194</v>
      </c>
      <c r="N36" s="111">
        <v>45014</v>
      </c>
      <c r="O36" s="101">
        <f t="shared" ca="1" si="8"/>
        <v>-49</v>
      </c>
      <c r="P36" s="99" t="str">
        <f t="shared" ca="1" si="3"/>
        <v>EXPIRADO</v>
      </c>
      <c r="Q36" s="110">
        <v>45134</v>
      </c>
      <c r="R36" s="98"/>
      <c r="S36" s="98"/>
      <c r="T36" s="98">
        <v>0</v>
      </c>
      <c r="U36" s="112">
        <v>6420</v>
      </c>
      <c r="V36" s="127">
        <v>869401.88</v>
      </c>
      <c r="W36" s="127">
        <v>350391.42</v>
      </c>
      <c r="X36" s="130">
        <v>0.6</v>
      </c>
      <c r="Y36" s="98" t="s">
        <v>49</v>
      </c>
      <c r="Z36" s="23" t="s">
        <v>49</v>
      </c>
      <c r="AA36" s="99" t="s">
        <v>49</v>
      </c>
      <c r="AB36" s="99" t="s">
        <v>49</v>
      </c>
      <c r="AC36" s="98" t="s">
        <v>80</v>
      </c>
      <c r="AD36" s="101">
        <v>0</v>
      </c>
      <c r="AE36" s="98">
        <v>0</v>
      </c>
      <c r="AF36" s="114">
        <v>45014</v>
      </c>
      <c r="AG36" s="103">
        <v>5</v>
      </c>
      <c r="AH36" s="110">
        <v>46814</v>
      </c>
      <c r="AI36" s="98"/>
      <c r="AJ36" s="98"/>
      <c r="AK36" s="32"/>
    </row>
    <row r="37" spans="1:37" ht="13.5" customHeight="1" x14ac:dyDescent="0.25">
      <c r="A37" s="98">
        <v>34</v>
      </c>
      <c r="B37" s="98" t="s">
        <v>45</v>
      </c>
      <c r="C37" s="131" t="s">
        <v>744</v>
      </c>
      <c r="D37" s="107" t="s">
        <v>745</v>
      </c>
      <c r="E37" s="98" t="s">
        <v>746</v>
      </c>
      <c r="F37" s="98"/>
      <c r="G37" s="98" t="s">
        <v>78</v>
      </c>
      <c r="H37" s="98" t="s">
        <v>419</v>
      </c>
      <c r="I37" s="128">
        <v>43684</v>
      </c>
      <c r="J37" s="111">
        <v>45064</v>
      </c>
      <c r="K37" s="119">
        <f t="shared" ca="1" si="0"/>
        <v>-30</v>
      </c>
      <c r="L37" s="99" t="str">
        <f t="shared" ca="1" si="1"/>
        <v>EXPIRADO</v>
      </c>
      <c r="M37" s="111">
        <v>45153</v>
      </c>
      <c r="N37" s="111">
        <v>45010</v>
      </c>
      <c r="O37" s="101">
        <f t="shared" ca="1" si="8"/>
        <v>-84</v>
      </c>
      <c r="P37" s="99" t="str">
        <f t="shared" ca="1" si="3"/>
        <v>EXPIRADO</v>
      </c>
      <c r="Q37" s="110">
        <v>45099</v>
      </c>
      <c r="R37" s="98"/>
      <c r="S37" s="98"/>
      <c r="T37" s="98">
        <v>0</v>
      </c>
      <c r="U37" s="112" t="s">
        <v>747</v>
      </c>
      <c r="V37" s="127">
        <v>2731253.25</v>
      </c>
      <c r="W37" s="127">
        <v>945999.08</v>
      </c>
      <c r="X37" s="130">
        <v>0.65</v>
      </c>
      <c r="Y37" s="98" t="s">
        <v>242</v>
      </c>
      <c r="Z37" s="23"/>
      <c r="AA37" s="99" t="s">
        <v>49</v>
      </c>
      <c r="AB37" s="99" t="s">
        <v>49</v>
      </c>
      <c r="AC37" s="98" t="s">
        <v>80</v>
      </c>
      <c r="AD37" s="101">
        <v>11</v>
      </c>
      <c r="AE37" s="98">
        <v>0</v>
      </c>
      <c r="AF37" s="125">
        <v>43684</v>
      </c>
      <c r="AG37" s="103">
        <v>1</v>
      </c>
      <c r="AH37" s="110">
        <v>45484</v>
      </c>
      <c r="AI37" s="98"/>
      <c r="AJ37" s="98"/>
      <c r="AK37" s="32" t="s">
        <v>748</v>
      </c>
    </row>
    <row r="38" spans="1:37" ht="13.5" customHeight="1" x14ac:dyDescent="0.25">
      <c r="A38" s="98">
        <v>35</v>
      </c>
      <c r="B38" s="98" t="s">
        <v>45</v>
      </c>
      <c r="C38" s="131" t="s">
        <v>749</v>
      </c>
      <c r="D38" s="107" t="s">
        <v>46</v>
      </c>
      <c r="E38" s="98" t="s">
        <v>750</v>
      </c>
      <c r="F38" s="98"/>
      <c r="G38" s="98" t="s">
        <v>60</v>
      </c>
      <c r="H38" s="98" t="s">
        <v>463</v>
      </c>
      <c r="I38" s="128">
        <v>44746</v>
      </c>
      <c r="J38" s="111">
        <v>45081</v>
      </c>
      <c r="K38" s="119">
        <f t="shared" ca="1" si="0"/>
        <v>80</v>
      </c>
      <c r="L38" s="99" t="str">
        <f t="shared" ca="1" si="1"/>
        <v>VIGENTE</v>
      </c>
      <c r="M38" s="111">
        <v>45263</v>
      </c>
      <c r="N38" s="111">
        <v>44972</v>
      </c>
      <c r="O38" s="101">
        <f t="shared" ca="1" si="8"/>
        <v>-211</v>
      </c>
      <c r="P38" s="99" t="str">
        <f t="shared" ca="1" si="3"/>
        <v>EXPIRADO</v>
      </c>
      <c r="Q38" s="27">
        <v>44972</v>
      </c>
      <c r="R38" s="98"/>
      <c r="S38" s="98"/>
      <c r="T38" s="98"/>
      <c r="U38" s="112" t="s">
        <v>751</v>
      </c>
      <c r="V38" s="132">
        <v>1038922.44</v>
      </c>
      <c r="W38" s="132">
        <v>60916.82</v>
      </c>
      <c r="X38" s="130">
        <v>0.94</v>
      </c>
      <c r="Y38" s="98" t="s">
        <v>153</v>
      </c>
      <c r="Z38" s="23" t="s">
        <v>62</v>
      </c>
      <c r="AA38" s="99" t="s">
        <v>49</v>
      </c>
      <c r="AB38" s="99" t="s">
        <v>49</v>
      </c>
      <c r="AC38" s="98" t="s">
        <v>80</v>
      </c>
      <c r="AD38" s="101">
        <v>3</v>
      </c>
      <c r="AE38" s="98">
        <v>1</v>
      </c>
      <c r="AF38" s="125">
        <v>45117</v>
      </c>
      <c r="AG38" s="103">
        <v>5</v>
      </c>
      <c r="AH38" s="110">
        <v>46917</v>
      </c>
      <c r="AI38" s="98"/>
      <c r="AJ38" s="98"/>
      <c r="AK38" s="32"/>
    </row>
    <row r="39" spans="1:37" ht="15.75" customHeight="1" x14ac:dyDescent="0.25">
      <c r="A39" s="7" t="s">
        <v>582</v>
      </c>
      <c r="B39" s="7"/>
      <c r="C39" s="7"/>
      <c r="D39" s="7"/>
      <c r="E39" s="7"/>
      <c r="F39" s="7"/>
      <c r="G39" s="7"/>
      <c r="H39" s="7"/>
      <c r="I39" s="7"/>
      <c r="J39" s="7"/>
      <c r="K39" s="7"/>
      <c r="L39" s="7"/>
      <c r="M39" s="7"/>
      <c r="N39" s="7"/>
      <c r="O39" s="7"/>
      <c r="P39" s="7"/>
      <c r="Q39" s="7"/>
      <c r="R39" s="7"/>
      <c r="S39" s="7"/>
      <c r="T39" s="7"/>
      <c r="U39" s="7"/>
      <c r="V39" s="88">
        <f>SUM(V3:V25)</f>
        <v>23420030.829999998</v>
      </c>
      <c r="W39" s="88">
        <f>SUM(W4:W25)</f>
        <v>4172249.6099999989</v>
      </c>
    </row>
    <row r="40" spans="1:37" ht="15.75" customHeight="1" x14ac:dyDescent="0.25"/>
    <row r="41" spans="1:37" ht="15.75" customHeight="1" x14ac:dyDescent="0.25"/>
    <row r="42" spans="1:37" ht="15.75" customHeight="1" x14ac:dyDescent="0.25"/>
    <row r="43" spans="1:37" ht="15.75" customHeight="1" x14ac:dyDescent="0.25"/>
    <row r="44" spans="1:37" ht="15.75" customHeight="1" x14ac:dyDescent="0.25"/>
    <row r="45" spans="1:37" ht="15.75" customHeight="1" x14ac:dyDescent="0.25"/>
    <row r="46" spans="1:37" ht="15.75" customHeight="1" x14ac:dyDescent="0.25"/>
    <row r="47" spans="1:37" ht="15.75" customHeight="1" x14ac:dyDescent="0.25"/>
    <row r="48" spans="1:37"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1048353" spans="2:29" x14ac:dyDescent="0.25">
      <c r="B1048353" s="88" t="s">
        <v>45</v>
      </c>
      <c r="AA1048353" s="88" t="s">
        <v>49</v>
      </c>
      <c r="AB1048353" s="88" t="s">
        <v>49</v>
      </c>
      <c r="AC1048353" s="88" t="s">
        <v>49</v>
      </c>
    </row>
  </sheetData>
  <autoFilter ref="B3:AK39" xr:uid="{00000000-0009-0000-0000-000002000000}"/>
  <mergeCells count="9">
    <mergeCell ref="A39:U39"/>
    <mergeCell ref="B1:AK1"/>
    <mergeCell ref="B2:E2"/>
    <mergeCell ref="F2:H2"/>
    <mergeCell ref="I2:M2"/>
    <mergeCell ref="N2:T2"/>
    <mergeCell ref="V2:X2"/>
    <mergeCell ref="Y2:AB2"/>
    <mergeCell ref="AC2:AK2"/>
  </mergeCells>
  <conditionalFormatting sqref="K27">
    <cfRule type="iconSet" priority="2">
      <iconSet iconSet="3Symbols">
        <cfvo type="percent" val="0"/>
        <cfvo type="num" val="0"/>
        <cfvo type="num" val="60"/>
      </iconSet>
    </cfRule>
  </conditionalFormatting>
  <conditionalFormatting sqref="K28">
    <cfRule type="iconSet" priority="3">
      <iconSet iconSet="3Symbols">
        <cfvo type="percent" val="0"/>
        <cfvo type="num" val="0"/>
        <cfvo type="num" val="60"/>
      </iconSet>
    </cfRule>
  </conditionalFormatting>
  <conditionalFormatting sqref="K29">
    <cfRule type="iconSet" priority="4">
      <iconSet iconSet="3Symbols">
        <cfvo type="percent" val="0"/>
        <cfvo type="num" val="0"/>
        <cfvo type="num" val="60"/>
      </iconSet>
    </cfRule>
  </conditionalFormatting>
  <conditionalFormatting sqref="K30">
    <cfRule type="iconSet" priority="5">
      <iconSet iconSet="3Symbols">
        <cfvo type="percent" val="0"/>
        <cfvo type="num" val="0"/>
        <cfvo type="num" val="60"/>
      </iconSet>
    </cfRule>
  </conditionalFormatting>
  <conditionalFormatting sqref="K31">
    <cfRule type="iconSet" priority="6">
      <iconSet iconSet="3Symbols">
        <cfvo type="percent" val="0"/>
        <cfvo type="num" val="0"/>
        <cfvo type="num" val="60"/>
      </iconSet>
    </cfRule>
  </conditionalFormatting>
  <conditionalFormatting sqref="K32">
    <cfRule type="iconSet" priority="7">
      <iconSet iconSet="3Symbols">
        <cfvo type="percent" val="0"/>
        <cfvo type="num" val="0"/>
        <cfvo type="num" val="60"/>
      </iconSet>
    </cfRule>
  </conditionalFormatting>
  <conditionalFormatting sqref="K33">
    <cfRule type="iconSet" priority="8">
      <iconSet iconSet="3Symbols">
        <cfvo type="percent" val="0"/>
        <cfvo type="num" val="0"/>
        <cfvo type="num" val="60"/>
      </iconSet>
    </cfRule>
  </conditionalFormatting>
  <conditionalFormatting sqref="K34">
    <cfRule type="iconSet" priority="9">
      <iconSet iconSet="3Symbols">
        <cfvo type="percent" val="0"/>
        <cfvo type="num" val="0"/>
        <cfvo type="num" val="60"/>
      </iconSet>
    </cfRule>
  </conditionalFormatting>
  <conditionalFormatting sqref="K35">
    <cfRule type="iconSet" priority="10">
      <iconSet iconSet="3Symbols">
        <cfvo type="percent" val="0"/>
        <cfvo type="num" val="0"/>
        <cfvo type="num" val="60"/>
      </iconSet>
    </cfRule>
  </conditionalFormatting>
  <conditionalFormatting sqref="K36">
    <cfRule type="iconSet" priority="11">
      <iconSet iconSet="3Symbols">
        <cfvo type="percent" val="0"/>
        <cfvo type="num" val="0"/>
        <cfvo type="num" val="60"/>
      </iconSet>
    </cfRule>
  </conditionalFormatting>
  <conditionalFormatting sqref="K37">
    <cfRule type="iconSet" priority="12">
      <iconSet iconSet="3Symbols">
        <cfvo type="percent" val="0"/>
        <cfvo type="num" val="0"/>
        <cfvo type="num" val="60"/>
      </iconSet>
    </cfRule>
  </conditionalFormatting>
  <conditionalFormatting sqref="K38">
    <cfRule type="iconSet" priority="13">
      <iconSet iconSet="3Symbols">
        <cfvo type="percent" val="0"/>
        <cfvo type="num" val="0"/>
        <cfvo type="num" val="60"/>
      </iconSet>
    </cfRule>
  </conditionalFormatting>
  <conditionalFormatting sqref="K4:L25">
    <cfRule type="iconSet" priority="14">
      <iconSet iconSet="3Symbols">
        <cfvo type="percent" val="0"/>
        <cfvo type="num" val="0"/>
        <cfvo type="num" val="60"/>
      </iconSet>
    </cfRule>
  </conditionalFormatting>
  <conditionalFormatting sqref="K26:L26">
    <cfRule type="iconSet" priority="15">
      <iconSet iconSet="3Symbols">
        <cfvo type="percent" val="0"/>
        <cfvo type="num" val="0"/>
        <cfvo type="num" val="60"/>
      </iconSet>
    </cfRule>
  </conditionalFormatting>
  <conditionalFormatting sqref="L27">
    <cfRule type="iconSet" priority="16">
      <iconSet iconSet="3Symbols">
        <cfvo type="percent" val="0"/>
        <cfvo type="num" val="0"/>
        <cfvo type="num" val="60"/>
      </iconSet>
    </cfRule>
  </conditionalFormatting>
  <conditionalFormatting sqref="L28">
    <cfRule type="iconSet" priority="17">
      <iconSet iconSet="3Symbols">
        <cfvo type="percent" val="0"/>
        <cfvo type="num" val="0"/>
        <cfvo type="num" val="60"/>
      </iconSet>
    </cfRule>
  </conditionalFormatting>
  <conditionalFormatting sqref="L29">
    <cfRule type="iconSet" priority="18">
      <iconSet iconSet="3Symbols">
        <cfvo type="percent" val="0"/>
        <cfvo type="num" val="0"/>
        <cfvo type="num" val="60"/>
      </iconSet>
    </cfRule>
  </conditionalFormatting>
  <conditionalFormatting sqref="L30">
    <cfRule type="iconSet" priority="19">
      <iconSet iconSet="3Symbols">
        <cfvo type="percent" val="0"/>
        <cfvo type="num" val="0"/>
        <cfvo type="num" val="60"/>
      </iconSet>
    </cfRule>
  </conditionalFormatting>
  <conditionalFormatting sqref="L31">
    <cfRule type="iconSet" priority="20">
      <iconSet iconSet="3Symbols">
        <cfvo type="percent" val="0"/>
        <cfvo type="num" val="0"/>
        <cfvo type="num" val="60"/>
      </iconSet>
    </cfRule>
  </conditionalFormatting>
  <conditionalFormatting sqref="L32">
    <cfRule type="iconSet" priority="21">
      <iconSet iconSet="3Symbols">
        <cfvo type="percent" val="0"/>
        <cfvo type="num" val="0"/>
        <cfvo type="num" val="60"/>
      </iconSet>
    </cfRule>
  </conditionalFormatting>
  <conditionalFormatting sqref="L33">
    <cfRule type="iconSet" priority="22">
      <iconSet iconSet="3Symbols">
        <cfvo type="percent" val="0"/>
        <cfvo type="num" val="0"/>
        <cfvo type="num" val="60"/>
      </iconSet>
    </cfRule>
  </conditionalFormatting>
  <conditionalFormatting sqref="L34">
    <cfRule type="iconSet" priority="23">
      <iconSet iconSet="3Symbols">
        <cfvo type="percent" val="0"/>
        <cfvo type="num" val="0"/>
        <cfvo type="num" val="60"/>
      </iconSet>
    </cfRule>
  </conditionalFormatting>
  <conditionalFormatting sqref="L35">
    <cfRule type="iconSet" priority="24">
      <iconSet iconSet="3Symbols">
        <cfvo type="percent" val="0"/>
        <cfvo type="num" val="0"/>
        <cfvo type="num" val="60"/>
      </iconSet>
    </cfRule>
  </conditionalFormatting>
  <conditionalFormatting sqref="L36">
    <cfRule type="iconSet" priority="25">
      <iconSet iconSet="3Symbols">
        <cfvo type="percent" val="0"/>
        <cfvo type="num" val="0"/>
        <cfvo type="num" val="60"/>
      </iconSet>
    </cfRule>
  </conditionalFormatting>
  <conditionalFormatting sqref="L37">
    <cfRule type="iconSet" priority="26">
      <iconSet iconSet="3Symbols">
        <cfvo type="percent" val="0"/>
        <cfvo type="num" val="0"/>
        <cfvo type="num" val="60"/>
      </iconSet>
    </cfRule>
  </conditionalFormatting>
  <conditionalFormatting sqref="L38">
    <cfRule type="iconSet" priority="27">
      <iconSet iconSet="3Symbols">
        <cfvo type="percent" val="0"/>
        <cfvo type="num" val="0"/>
        <cfvo type="num" val="60"/>
      </iconSet>
    </cfRule>
  </conditionalFormatting>
  <conditionalFormatting sqref="O4:P25">
    <cfRule type="iconSet" priority="28">
      <iconSet iconSet="3Symbols">
        <cfvo type="percent" val="0"/>
        <cfvo type="num" val="0"/>
        <cfvo type="num" val="60"/>
      </iconSet>
    </cfRule>
  </conditionalFormatting>
  <conditionalFormatting sqref="O26:P26 O27">
    <cfRule type="iconSet" priority="29">
      <iconSet iconSet="3Symbols">
        <cfvo type="percent" val="0"/>
        <cfvo type="num" val="0"/>
        <cfvo type="num" val="60"/>
      </iconSet>
    </cfRule>
  </conditionalFormatting>
  <conditionalFormatting sqref="O28:P28">
    <cfRule type="iconSet" priority="30">
      <iconSet iconSet="3Symbols">
        <cfvo type="percent" val="0"/>
        <cfvo type="num" val="0"/>
        <cfvo type="num" val="60"/>
      </iconSet>
    </cfRule>
  </conditionalFormatting>
  <conditionalFormatting sqref="O29:P29">
    <cfRule type="iconSet" priority="31">
      <iconSet iconSet="3Symbols">
        <cfvo type="percent" val="0"/>
        <cfvo type="num" val="0"/>
        <cfvo type="num" val="60"/>
      </iconSet>
    </cfRule>
  </conditionalFormatting>
  <conditionalFormatting sqref="O30:P30">
    <cfRule type="iconSet" priority="32">
      <iconSet iconSet="3Symbols">
        <cfvo type="percent" val="0"/>
        <cfvo type="num" val="0"/>
        <cfvo type="num" val="60"/>
      </iconSet>
    </cfRule>
  </conditionalFormatting>
  <conditionalFormatting sqref="O31:P31">
    <cfRule type="iconSet" priority="33">
      <iconSet iconSet="3Symbols">
        <cfvo type="percent" val="0"/>
        <cfvo type="num" val="0"/>
        <cfvo type="num" val="60"/>
      </iconSet>
    </cfRule>
  </conditionalFormatting>
  <conditionalFormatting sqref="O32:P32">
    <cfRule type="iconSet" priority="34">
      <iconSet iconSet="3Symbols">
        <cfvo type="percent" val="0"/>
        <cfvo type="num" val="0"/>
        <cfvo type="num" val="60"/>
      </iconSet>
    </cfRule>
  </conditionalFormatting>
  <conditionalFormatting sqref="O33:P33">
    <cfRule type="iconSet" priority="35">
      <iconSet iconSet="3Symbols">
        <cfvo type="percent" val="0"/>
        <cfvo type="num" val="0"/>
        <cfvo type="num" val="60"/>
      </iconSet>
    </cfRule>
  </conditionalFormatting>
  <conditionalFormatting sqref="O34:P34">
    <cfRule type="iconSet" priority="36">
      <iconSet iconSet="3Symbols">
        <cfvo type="percent" val="0"/>
        <cfvo type="num" val="0"/>
        <cfvo type="num" val="60"/>
      </iconSet>
    </cfRule>
  </conditionalFormatting>
  <conditionalFormatting sqref="O35:P35">
    <cfRule type="iconSet" priority="37">
      <iconSet iconSet="3Symbols">
        <cfvo type="percent" val="0"/>
        <cfvo type="num" val="0"/>
        <cfvo type="num" val="60"/>
      </iconSet>
    </cfRule>
  </conditionalFormatting>
  <conditionalFormatting sqref="O36:P36">
    <cfRule type="iconSet" priority="38">
      <iconSet iconSet="3Symbols">
        <cfvo type="percent" val="0"/>
        <cfvo type="num" val="0"/>
        <cfvo type="num" val="60"/>
      </iconSet>
    </cfRule>
  </conditionalFormatting>
  <conditionalFormatting sqref="O37:P37">
    <cfRule type="iconSet" priority="39">
      <iconSet iconSet="3Symbols">
        <cfvo type="percent" val="0"/>
        <cfvo type="num" val="0"/>
        <cfvo type="num" val="60"/>
      </iconSet>
    </cfRule>
  </conditionalFormatting>
  <conditionalFormatting sqref="O38:P38">
    <cfRule type="iconSet" priority="40">
      <iconSet iconSet="3Symbols">
        <cfvo type="percent" val="0"/>
        <cfvo type="num" val="0"/>
        <cfvo type="num" val="60"/>
      </iconSet>
    </cfRule>
  </conditionalFormatting>
  <conditionalFormatting sqref="P27">
    <cfRule type="iconSet" priority="41">
      <iconSet iconSet="3Symbols">
        <cfvo type="percent" val="0"/>
        <cfvo type="num" val="0"/>
        <cfvo type="num" val="60"/>
      </iconSet>
    </cfRule>
  </conditionalFormatting>
  <conditionalFormatting sqref="AC4:AD38">
    <cfRule type="cellIs" dxfId="12" priority="42" operator="equal">
      <formula>"(01) ASSINATURA"</formula>
    </cfRule>
    <cfRule type="cellIs" dxfId="11" priority="43" operator="equal">
      <formula>"(02) PUBLICAÇÃO"</formula>
    </cfRule>
    <cfRule type="cellIs" dxfId="10" priority="44" operator="equal">
      <formula>"(03) FISCAL"</formula>
    </cfRule>
    <cfRule type="cellIs" dxfId="9" priority="45" operator="equal">
      <formula>"(04) ORDEM DE EXECUÇÃO"</formula>
    </cfRule>
    <cfRule type="cellIs" dxfId="8" priority="46" operator="equal">
      <formula>"(05) MEDIÇÕES"</formula>
    </cfRule>
    <cfRule type="cellIs" dxfId="7" priority="47" operator="equal">
      <formula>"(06) PARALISADO"</formula>
    </cfRule>
    <cfRule type="cellIs" dxfId="6" priority="48" operator="equal">
      <formula>"(07) ADITIVO - MONTAGEM"</formula>
    </cfRule>
    <cfRule type="cellIs" dxfId="5" priority="49" operator="equal">
      <formula>"(08) ADITIVO - PARECER JURÍDICO"</formula>
    </cfRule>
    <cfRule type="cellIs" dxfId="4" priority="50" operator="equal">
      <formula>"(09) ADITIVO - CG"</formula>
    </cfRule>
    <cfRule type="cellIs" dxfId="3" priority="51" operator="equal">
      <formula>"(10) ADITIVO - DSLC"</formula>
    </cfRule>
    <cfRule type="cellIs" dxfId="2" priority="52" operator="equal">
      <formula>"(11) ADITIVO - ASSINATURA"</formula>
    </cfRule>
    <cfRule type="cellIs" dxfId="1" priority="53" operator="equal">
      <formula>"(12) ADITIVO - PUBLICAÇÃO"</formula>
    </cfRule>
    <cfRule type="cellIs" dxfId="0" priority="54" operator="equal">
      <formula>"(13) FINALIZADO"</formula>
    </cfRule>
  </conditionalFormatting>
  <dataValidations count="1">
    <dataValidation showDropDown="1" showInputMessage="1" showErrorMessage="1" sqref="I4:I33 J32 I34:I38" xr:uid="{00000000-0002-0000-0200-000000000000}">
      <formula1>0</formula1>
      <formula2>0</formula2>
    </dataValidation>
  </dataValidations>
  <printOptions horizontalCentered="1" verticalCentered="1"/>
  <pageMargins left="0.25" right="0.25" top="0.75" bottom="0.75" header="0.511811023622047" footer="0.511811023622047"/>
  <pageSetup paperSize="8" fitToHeight="0" orientation="landscape" horizontalDpi="300" verticalDpi="300"/>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200-000001000000}">
          <x14:formula1>
            <xm:f>'LISTAS SUSPENSAS'!$C$20:$C$23</xm:f>
          </x14:formula1>
          <x14:formula2>
            <xm:f>0</xm:f>
          </x14:formula2>
          <xm:sqref>B4:B38</xm:sqref>
        </x14:dataValidation>
        <x14:dataValidation type="list" allowBlank="1" showInputMessage="1" showErrorMessage="1" xr:uid="{00000000-0002-0000-0200-000002000000}">
          <x14:formula1>
            <xm:f>'LISTAS SUSPENSAS'!$E$10:$E$59</xm:f>
          </x14:formula1>
          <x14:formula2>
            <xm:f>0</xm:f>
          </x14:formula2>
          <xm:sqref>AA1048353:AC1048576</xm:sqref>
        </x14:dataValidation>
        <x14:dataValidation type="list" allowBlank="1" showInputMessage="1" showErrorMessage="1" xr:uid="{00000000-0002-0000-0200-000003000000}">
          <x14:formula1>
            <xm:f>'LISTAS SUSPENSAS'!$C$20:$C$25</xm:f>
          </x14:formula1>
          <x14:formula2>
            <xm:f>0</xm:f>
          </x14:formula2>
          <xm:sqref>B1048353:B1048576</xm:sqref>
        </x14:dataValidation>
        <x14:dataValidation type="list" allowBlank="1" xr:uid="{00000000-0002-0000-0200-000004000000}">
          <x14:formula1>
            <xm:f>'LISTAS SUSPENSAS'!$E$2:$E$8</xm:f>
          </x14:formula1>
          <x14:formula2>
            <xm:f>0</xm:f>
          </x14:formula2>
          <xm:sqref>AJ10</xm:sqref>
        </x14:dataValidation>
        <x14:dataValidation type="list" allowBlank="1" xr:uid="{00000000-0002-0000-0200-000005000000}">
          <x14:formula1>
            <xm:f>'LISTAS SUSPENSAS'!$E$2:$E$7</xm:f>
          </x14:formula1>
          <x14:formula2>
            <xm:f>0</xm:f>
          </x14:formula2>
          <xm:sqref>AJ4:AJ9 AJ11:AJ38</xm:sqref>
        </x14:dataValidation>
        <x14:dataValidation type="list" allowBlank="1" showInputMessage="1" showErrorMessage="1" xr:uid="{00000000-0002-0000-0200-000006000000}">
          <x14:formula1>
            <xm:f>'LISTAS SUSPENSAS'!$E$10:$E$75</xm:f>
          </x14:formula1>
          <x14:formula2>
            <xm:f>0</xm:f>
          </x14:formula2>
          <xm:sqref>Y4:AB28 Y29:Y30 AA29:AB38 Y34:Y38</xm:sqref>
        </x14:dataValidation>
        <x14:dataValidation type="list" allowBlank="1" showErrorMessage="1" xr:uid="{00000000-0002-0000-0200-000007000000}">
          <x14:formula1>
            <xm:f>'LISTAS SUSPENSAS'!$A$2:$A$19</xm:f>
          </x14:formula1>
          <x14:formula2>
            <xm:f>0</xm:f>
          </x14:formula2>
          <xm:sqref>AC4:AC38</xm:sqref>
        </x14:dataValidation>
        <x14:dataValidation type="list" allowBlank="1" showInputMessage="1" showErrorMessage="1" xr:uid="{00000000-0002-0000-0200-000008000000}">
          <x14:formula1>
            <xm:f>'LISTAS SUSPENSAS'!$E$10:$E$77</xm:f>
          </x14:formula1>
          <x14:formula2>
            <xm:f>0</xm:f>
          </x14:formula2>
          <xm:sqref>Z29:Z34 Y31:Y33 Z35:Z38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00"/>
  </sheetPr>
  <dimension ref="A1:AMJ1014"/>
  <sheetViews>
    <sheetView topLeftCell="A28" zoomScale="120" zoomScaleNormal="120" workbookViewId="0">
      <selection activeCell="E43" sqref="E43"/>
    </sheetView>
  </sheetViews>
  <sheetFormatPr defaultColWidth="14.42578125" defaultRowHeight="15" x14ac:dyDescent="0.25"/>
  <cols>
    <col min="1" max="1" width="36" style="13" customWidth="1"/>
    <col min="2" max="2" width="8.7109375" style="13" customWidth="1"/>
    <col min="3" max="3" width="43.42578125" style="13" customWidth="1"/>
    <col min="4" max="4" width="8.7109375" style="13" customWidth="1"/>
    <col min="5" max="5" width="27.7109375" style="13" customWidth="1"/>
    <col min="6" max="6" width="11.7109375" style="13" customWidth="1"/>
    <col min="7" max="7" width="32.7109375" style="13" customWidth="1"/>
    <col min="8" max="24" width="12.42578125" style="13" customWidth="1"/>
    <col min="25" max="1024" width="14.42578125" style="13"/>
  </cols>
  <sheetData>
    <row r="1" spans="1:7" ht="15" customHeight="1" x14ac:dyDescent="0.25">
      <c r="A1" s="133" t="s">
        <v>10</v>
      </c>
      <c r="B1" s="133"/>
      <c r="C1" s="133" t="s">
        <v>752</v>
      </c>
    </row>
    <row r="2" spans="1:7" x14ac:dyDescent="0.25">
      <c r="A2" s="12" t="s">
        <v>753</v>
      </c>
      <c r="C2" s="12" t="s">
        <v>753</v>
      </c>
    </row>
    <row r="3" spans="1:7" x14ac:dyDescent="0.25">
      <c r="A3" s="12" t="s">
        <v>754</v>
      </c>
      <c r="C3" s="12" t="s">
        <v>754</v>
      </c>
      <c r="E3" s="13" t="s">
        <v>755</v>
      </c>
    </row>
    <row r="4" spans="1:7" x14ac:dyDescent="0.25">
      <c r="A4" s="12" t="s">
        <v>567</v>
      </c>
      <c r="C4" s="12" t="s">
        <v>567</v>
      </c>
      <c r="E4" s="13" t="s">
        <v>56</v>
      </c>
    </row>
    <row r="5" spans="1:7" x14ac:dyDescent="0.25">
      <c r="A5" s="12" t="s">
        <v>572</v>
      </c>
      <c r="C5" s="12" t="s">
        <v>596</v>
      </c>
      <c r="E5" s="13" t="s">
        <v>357</v>
      </c>
    </row>
    <row r="6" spans="1:7" x14ac:dyDescent="0.25">
      <c r="A6" s="12" t="s">
        <v>73</v>
      </c>
      <c r="C6" s="12" t="s">
        <v>468</v>
      </c>
      <c r="E6" s="13" t="s">
        <v>103</v>
      </c>
    </row>
    <row r="7" spans="1:7" x14ac:dyDescent="0.25">
      <c r="A7" s="12" t="s">
        <v>94</v>
      </c>
      <c r="C7" s="12" t="s">
        <v>54</v>
      </c>
      <c r="E7" s="13" t="s">
        <v>66</v>
      </c>
    </row>
    <row r="8" spans="1:7" x14ac:dyDescent="0.25">
      <c r="A8" s="12" t="s">
        <v>468</v>
      </c>
      <c r="C8" s="12" t="s">
        <v>86</v>
      </c>
    </row>
    <row r="9" spans="1:7" x14ac:dyDescent="0.25">
      <c r="A9" s="12" t="s">
        <v>54</v>
      </c>
      <c r="C9" s="12" t="s">
        <v>756</v>
      </c>
      <c r="E9" s="6" t="s">
        <v>757</v>
      </c>
      <c r="F9" s="6"/>
      <c r="G9" s="6"/>
    </row>
    <row r="10" spans="1:7" x14ac:dyDescent="0.25">
      <c r="A10" s="12" t="s">
        <v>229</v>
      </c>
      <c r="C10" s="12" t="s">
        <v>758</v>
      </c>
      <c r="E10" s="13" t="s">
        <v>49</v>
      </c>
    </row>
    <row r="11" spans="1:7" x14ac:dyDescent="0.25">
      <c r="A11" s="12" t="s">
        <v>86</v>
      </c>
      <c r="C11" s="12" t="s">
        <v>759</v>
      </c>
      <c r="E11" s="13" t="s">
        <v>256</v>
      </c>
    </row>
    <row r="12" spans="1:7" x14ac:dyDescent="0.25">
      <c r="A12" s="12" t="s">
        <v>64</v>
      </c>
      <c r="C12" s="12" t="s">
        <v>80</v>
      </c>
      <c r="E12" s="13" t="s">
        <v>760</v>
      </c>
    </row>
    <row r="13" spans="1:7" x14ac:dyDescent="0.25">
      <c r="A13" s="12" t="s">
        <v>758</v>
      </c>
      <c r="C13" s="12" t="s">
        <v>178</v>
      </c>
      <c r="E13" s="13" t="s">
        <v>338</v>
      </c>
    </row>
    <row r="14" spans="1:7" x14ac:dyDescent="0.25">
      <c r="A14" s="12"/>
      <c r="C14" s="12"/>
      <c r="E14" s="13" t="s">
        <v>391</v>
      </c>
    </row>
    <row r="15" spans="1:7" x14ac:dyDescent="0.25">
      <c r="A15" s="12" t="s">
        <v>759</v>
      </c>
      <c r="C15" s="12" t="s">
        <v>761</v>
      </c>
      <c r="E15" s="13" t="s">
        <v>439</v>
      </c>
    </row>
    <row r="16" spans="1:7" x14ac:dyDescent="0.25">
      <c r="A16" s="12"/>
      <c r="C16" s="12"/>
      <c r="E16" s="13" t="s">
        <v>188</v>
      </c>
    </row>
    <row r="17" spans="1:7" x14ac:dyDescent="0.25">
      <c r="A17" s="12" t="s">
        <v>80</v>
      </c>
      <c r="C17" s="12" t="s">
        <v>762</v>
      </c>
      <c r="E17" s="13" t="s">
        <v>510</v>
      </c>
      <c r="G17" s="13" t="s">
        <v>763</v>
      </c>
    </row>
    <row r="18" spans="1:7" x14ac:dyDescent="0.25">
      <c r="A18" s="12" t="s">
        <v>178</v>
      </c>
      <c r="E18" s="13" t="s">
        <v>142</v>
      </c>
      <c r="G18" s="13" t="s">
        <v>764</v>
      </c>
    </row>
    <row r="19" spans="1:7" x14ac:dyDescent="0.25">
      <c r="A19" s="12" t="s">
        <v>761</v>
      </c>
      <c r="C19" s="13" t="s">
        <v>765</v>
      </c>
      <c r="E19" s="13" t="s">
        <v>766</v>
      </c>
      <c r="F19" s="13" t="s">
        <v>767</v>
      </c>
      <c r="G19" s="13" t="s">
        <v>768</v>
      </c>
    </row>
    <row r="20" spans="1:7" x14ac:dyDescent="0.25">
      <c r="A20" s="12" t="s">
        <v>762</v>
      </c>
      <c r="C20" s="13" t="s">
        <v>45</v>
      </c>
      <c r="E20" s="13" t="s">
        <v>127</v>
      </c>
      <c r="F20" s="13" t="s">
        <v>769</v>
      </c>
      <c r="G20" s="13" t="s">
        <v>770</v>
      </c>
    </row>
    <row r="21" spans="1:7" x14ac:dyDescent="0.25">
      <c r="C21" s="13" t="s">
        <v>327</v>
      </c>
      <c r="E21" s="13" t="s">
        <v>771</v>
      </c>
    </row>
    <row r="22" spans="1:7" x14ac:dyDescent="0.25">
      <c r="C22" s="13" t="s">
        <v>430</v>
      </c>
      <c r="E22" s="13" t="s">
        <v>119</v>
      </c>
      <c r="F22" s="13" t="s">
        <v>772</v>
      </c>
      <c r="G22" s="13" t="s">
        <v>773</v>
      </c>
    </row>
    <row r="23" spans="1:7" x14ac:dyDescent="0.25">
      <c r="C23" s="13" t="s">
        <v>447</v>
      </c>
      <c r="E23" s="13" t="s">
        <v>774</v>
      </c>
    </row>
    <row r="24" spans="1:7" x14ac:dyDescent="0.25">
      <c r="E24" s="13" t="s">
        <v>420</v>
      </c>
    </row>
    <row r="25" spans="1:7" x14ac:dyDescent="0.25">
      <c r="E25" s="13" t="s">
        <v>775</v>
      </c>
      <c r="F25" s="13" t="s">
        <v>776</v>
      </c>
    </row>
    <row r="26" spans="1:7" x14ac:dyDescent="0.25">
      <c r="E26" s="13" t="s">
        <v>361</v>
      </c>
    </row>
    <row r="27" spans="1:7" x14ac:dyDescent="0.25">
      <c r="E27" s="13" t="s">
        <v>63</v>
      </c>
      <c r="F27" s="13" t="s">
        <v>777</v>
      </c>
      <c r="G27" s="13" t="s">
        <v>778</v>
      </c>
    </row>
    <row r="28" spans="1:7" x14ac:dyDescent="0.25">
      <c r="E28" s="13" t="s">
        <v>128</v>
      </c>
    </row>
    <row r="29" spans="1:7" x14ac:dyDescent="0.25">
      <c r="E29" s="13" t="s">
        <v>664</v>
      </c>
      <c r="F29" s="13" t="s">
        <v>779</v>
      </c>
      <c r="G29" s="13" t="s">
        <v>780</v>
      </c>
    </row>
    <row r="30" spans="1:7" x14ac:dyDescent="0.25">
      <c r="E30" s="13" t="s">
        <v>781</v>
      </c>
    </row>
    <row r="31" spans="1:7" x14ac:dyDescent="0.25">
      <c r="E31" s="13" t="s">
        <v>332</v>
      </c>
    </row>
    <row r="32" spans="1:7" x14ac:dyDescent="0.25">
      <c r="E32" s="13" t="s">
        <v>153</v>
      </c>
      <c r="F32" s="13" t="s">
        <v>782</v>
      </c>
      <c r="G32" s="13" t="s">
        <v>783</v>
      </c>
    </row>
    <row r="33" spans="5:7" x14ac:dyDescent="0.25">
      <c r="E33" s="13" t="s">
        <v>170</v>
      </c>
    </row>
    <row r="34" spans="5:7" x14ac:dyDescent="0.25">
      <c r="E34" s="13" t="s">
        <v>126</v>
      </c>
      <c r="G34" s="13" t="s">
        <v>784</v>
      </c>
    </row>
    <row r="35" spans="5:7" x14ac:dyDescent="0.25">
      <c r="E35" s="13" t="s">
        <v>102</v>
      </c>
      <c r="F35" s="13" t="s">
        <v>785</v>
      </c>
      <c r="G35" s="13" t="s">
        <v>786</v>
      </c>
    </row>
    <row r="36" spans="5:7" x14ac:dyDescent="0.25">
      <c r="E36" s="13" t="s">
        <v>511</v>
      </c>
    </row>
    <row r="37" spans="5:7" x14ac:dyDescent="0.25">
      <c r="E37" s="13" t="s">
        <v>453</v>
      </c>
    </row>
    <row r="38" spans="5:7" x14ac:dyDescent="0.25">
      <c r="E38" s="13" t="s">
        <v>265</v>
      </c>
    </row>
    <row r="39" spans="5:7" x14ac:dyDescent="0.25">
      <c r="E39" s="13" t="s">
        <v>120</v>
      </c>
    </row>
    <row r="40" spans="5:7" x14ac:dyDescent="0.25">
      <c r="E40" s="13" t="s">
        <v>296</v>
      </c>
      <c r="F40" s="13" t="s">
        <v>787</v>
      </c>
      <c r="G40" s="13" t="s">
        <v>788</v>
      </c>
    </row>
    <row r="41" spans="5:7" x14ac:dyDescent="0.25">
      <c r="E41" s="13" t="s">
        <v>789</v>
      </c>
    </row>
    <row r="42" spans="5:7" x14ac:dyDescent="0.25">
      <c r="E42" s="13" t="s">
        <v>452</v>
      </c>
    </row>
    <row r="43" spans="5:7" x14ac:dyDescent="0.25">
      <c r="E43" s="134" t="s">
        <v>446</v>
      </c>
    </row>
    <row r="44" spans="5:7" x14ac:dyDescent="0.25">
      <c r="E44" s="13" t="s">
        <v>396</v>
      </c>
    </row>
    <row r="45" spans="5:7" x14ac:dyDescent="0.25">
      <c r="E45" s="13" t="s">
        <v>362</v>
      </c>
    </row>
    <row r="46" spans="5:7" x14ac:dyDescent="0.25">
      <c r="E46" s="13" t="s">
        <v>357</v>
      </c>
    </row>
    <row r="47" spans="5:7" x14ac:dyDescent="0.25">
      <c r="E47" s="13" t="s">
        <v>790</v>
      </c>
    </row>
    <row r="48" spans="5:7" x14ac:dyDescent="0.25">
      <c r="E48" s="13" t="s">
        <v>346</v>
      </c>
    </row>
    <row r="49" spans="5:7" x14ac:dyDescent="0.25">
      <c r="E49" s="13" t="s">
        <v>791</v>
      </c>
    </row>
    <row r="50" spans="5:7" x14ac:dyDescent="0.25">
      <c r="E50" s="13" t="s">
        <v>792</v>
      </c>
      <c r="F50" s="13" t="s">
        <v>793</v>
      </c>
      <c r="G50" s="13" t="s">
        <v>794</v>
      </c>
    </row>
    <row r="51" spans="5:7" x14ac:dyDescent="0.25">
      <c r="E51" s="13" t="s">
        <v>504</v>
      </c>
    </row>
    <row r="52" spans="5:7" x14ac:dyDescent="0.25">
      <c r="E52" s="13" t="s">
        <v>242</v>
      </c>
      <c r="G52" s="13" t="s">
        <v>795</v>
      </c>
    </row>
    <row r="53" spans="5:7" x14ac:dyDescent="0.25">
      <c r="E53" s="13" t="s">
        <v>333</v>
      </c>
    </row>
    <row r="54" spans="5:7" x14ac:dyDescent="0.25">
      <c r="E54" s="13" t="s">
        <v>706</v>
      </c>
      <c r="F54" s="13" t="s">
        <v>796</v>
      </c>
      <c r="G54" s="13" t="s">
        <v>797</v>
      </c>
    </row>
    <row r="55" spans="5:7" x14ac:dyDescent="0.25">
      <c r="E55" s="13" t="s">
        <v>798</v>
      </c>
      <c r="F55" s="13" t="s">
        <v>799</v>
      </c>
      <c r="G55" s="13" t="s">
        <v>800</v>
      </c>
    </row>
    <row r="56" spans="5:7" x14ac:dyDescent="0.25">
      <c r="E56" s="13" t="s">
        <v>177</v>
      </c>
      <c r="F56" s="13" t="s">
        <v>801</v>
      </c>
      <c r="G56" s="13" t="s">
        <v>802</v>
      </c>
    </row>
    <row r="57" spans="5:7" x14ac:dyDescent="0.25">
      <c r="E57" s="13" t="s">
        <v>368</v>
      </c>
    </row>
    <row r="58" spans="5:7" x14ac:dyDescent="0.25">
      <c r="E58" s="13" t="s">
        <v>236</v>
      </c>
    </row>
    <row r="59" spans="5:7" x14ac:dyDescent="0.25">
      <c r="E59" s="13" t="s">
        <v>137</v>
      </c>
      <c r="F59" s="13" t="s">
        <v>803</v>
      </c>
      <c r="G59" s="13" t="s">
        <v>804</v>
      </c>
    </row>
    <row r="60" spans="5:7" x14ac:dyDescent="0.25">
      <c r="E60" s="13" t="s">
        <v>805</v>
      </c>
      <c r="F60" s="13" t="s">
        <v>806</v>
      </c>
      <c r="G60" s="13" t="s">
        <v>807</v>
      </c>
    </row>
    <row r="61" spans="5:7" x14ac:dyDescent="0.25">
      <c r="E61" s="13" t="s">
        <v>62</v>
      </c>
      <c r="G61" s="13" t="s">
        <v>808</v>
      </c>
    </row>
    <row r="62" spans="5:7" x14ac:dyDescent="0.25">
      <c r="E62" s="13" t="s">
        <v>353</v>
      </c>
      <c r="F62" s="13" t="s">
        <v>809</v>
      </c>
    </row>
    <row r="63" spans="5:7" x14ac:dyDescent="0.25">
      <c r="E63" s="13" t="s">
        <v>187</v>
      </c>
      <c r="F63" s="13" t="s">
        <v>810</v>
      </c>
      <c r="G63" s="13" t="s">
        <v>811</v>
      </c>
    </row>
    <row r="64" spans="5:7" ht="23.25" x14ac:dyDescent="0.25">
      <c r="E64" s="13" t="s">
        <v>812</v>
      </c>
      <c r="F64" s="135" t="s">
        <v>813</v>
      </c>
    </row>
    <row r="65" spans="5:7" x14ac:dyDescent="0.25">
      <c r="E65" s="13" t="s">
        <v>72</v>
      </c>
    </row>
    <row r="66" spans="5:7" x14ac:dyDescent="0.25">
      <c r="E66" s="13" t="s">
        <v>171</v>
      </c>
    </row>
    <row r="67" spans="5:7" x14ac:dyDescent="0.25">
      <c r="E67" s="13" t="s">
        <v>814</v>
      </c>
    </row>
    <row r="68" spans="5:7" x14ac:dyDescent="0.25">
      <c r="E68" s="13" t="s">
        <v>235</v>
      </c>
      <c r="F68" s="13">
        <v>988237051</v>
      </c>
    </row>
    <row r="69" spans="5:7" x14ac:dyDescent="0.25">
      <c r="E69" s="13" t="s">
        <v>815</v>
      </c>
      <c r="G69" s="13" t="s">
        <v>816</v>
      </c>
    </row>
    <row r="70" spans="5:7" x14ac:dyDescent="0.25">
      <c r="E70" s="13" t="s">
        <v>817</v>
      </c>
    </row>
    <row r="71" spans="5:7" x14ac:dyDescent="0.25">
      <c r="E71" s="13" t="s">
        <v>53</v>
      </c>
      <c r="G71" s="13" t="s">
        <v>818</v>
      </c>
    </row>
    <row r="72" spans="5:7" x14ac:dyDescent="0.25">
      <c r="E72" s="13" t="s">
        <v>819</v>
      </c>
    </row>
    <row r="73" spans="5:7" x14ac:dyDescent="0.25">
      <c r="E73" s="13" t="s">
        <v>434</v>
      </c>
    </row>
    <row r="74" spans="5:7" x14ac:dyDescent="0.25">
      <c r="E74" s="13" t="s">
        <v>301</v>
      </c>
    </row>
    <row r="75" spans="5:7" x14ac:dyDescent="0.25">
      <c r="E75" s="13" t="s">
        <v>820</v>
      </c>
    </row>
    <row r="76" spans="5:7" x14ac:dyDescent="0.25">
      <c r="E76" s="13" t="s">
        <v>480</v>
      </c>
    </row>
    <row r="77" spans="5:7" x14ac:dyDescent="0.25">
      <c r="E77" s="13" t="s">
        <v>821</v>
      </c>
    </row>
    <row r="78" spans="5:7" x14ac:dyDescent="0.25">
      <c r="E78" s="13" t="s">
        <v>357</v>
      </c>
      <c r="F78" s="13" t="s">
        <v>822</v>
      </c>
      <c r="G78" s="13" t="s">
        <v>823</v>
      </c>
    </row>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sheetData>
  <mergeCells count="1">
    <mergeCell ref="E9:G9"/>
  </mergeCells>
  <hyperlinks>
    <hyperlink ref="G17" r:id="rId1" xr:uid="{00000000-0004-0000-0300-000000000000}"/>
    <hyperlink ref="G78" r:id="rId2" xr:uid="{00000000-0004-0000-0300-000001000000}"/>
  </hyperlinks>
  <pageMargins left="0.51180555555555596" right="0.51180555555555596" top="0.78749999999999998" bottom="0.78749999999999998" header="0.511811023622047" footer="0.511811023622047"/>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4EA6B"/>
  </sheetPr>
  <dimension ref="A1:AMJ142"/>
  <sheetViews>
    <sheetView topLeftCell="A70" zoomScaleNormal="100" workbookViewId="0">
      <selection activeCell="B120" sqref="B120"/>
    </sheetView>
  </sheetViews>
  <sheetFormatPr defaultColWidth="8.85546875" defaultRowHeight="15" x14ac:dyDescent="0.25"/>
  <cols>
    <col min="1" max="1" width="14.140625" style="136" customWidth="1"/>
    <col min="2" max="2" width="48.42578125" style="136" customWidth="1"/>
    <col min="3" max="3" width="36.42578125" style="136" customWidth="1"/>
    <col min="4" max="4" width="13.28515625" style="137" customWidth="1"/>
    <col min="5" max="5" width="9.7109375" style="137" customWidth="1"/>
    <col min="6" max="6" width="8.28515625" style="137" customWidth="1"/>
    <col min="7" max="1024" width="8.85546875" style="136"/>
  </cols>
  <sheetData>
    <row r="1" spans="1:6" s="138" customFormat="1" ht="18.75" x14ac:dyDescent="0.3">
      <c r="A1" s="5" t="s">
        <v>256</v>
      </c>
      <c r="B1" s="5"/>
      <c r="C1" s="5"/>
      <c r="D1" s="5"/>
      <c r="E1" s="5"/>
      <c r="F1" s="5"/>
    </row>
    <row r="2" spans="1:6" ht="15" customHeight="1" x14ac:dyDescent="0.25">
      <c r="A2" s="139" t="s">
        <v>253</v>
      </c>
      <c r="B2" s="140" t="s">
        <v>46</v>
      </c>
      <c r="C2" s="4" t="s">
        <v>254</v>
      </c>
      <c r="D2" s="4"/>
      <c r="E2" s="4"/>
      <c r="F2" s="4"/>
    </row>
    <row r="3" spans="1:6" s="138" customFormat="1" ht="18.75" x14ac:dyDescent="0.3">
      <c r="A3" s="5" t="s">
        <v>338</v>
      </c>
      <c r="B3" s="5"/>
      <c r="C3" s="5"/>
      <c r="D3" s="5"/>
      <c r="E3" s="5"/>
      <c r="F3" s="5"/>
    </row>
    <row r="4" spans="1:6" ht="60" customHeight="1" x14ac:dyDescent="0.25">
      <c r="A4" s="139" t="s">
        <v>336</v>
      </c>
      <c r="B4" s="140" t="s">
        <v>335</v>
      </c>
      <c r="C4" s="4" t="s">
        <v>337</v>
      </c>
      <c r="D4" s="4"/>
      <c r="E4" s="4"/>
      <c r="F4" s="4"/>
    </row>
    <row r="5" spans="1:6" ht="60" customHeight="1" x14ac:dyDescent="0.25">
      <c r="A5" s="139" t="s">
        <v>348</v>
      </c>
      <c r="B5" s="140" t="s">
        <v>347</v>
      </c>
      <c r="C5" s="4" t="s">
        <v>349</v>
      </c>
      <c r="D5" s="4"/>
      <c r="E5" s="4"/>
      <c r="F5" s="4"/>
    </row>
    <row r="6" spans="1:6" ht="60" customHeight="1" x14ac:dyDescent="0.25">
      <c r="A6" s="139" t="s">
        <v>384</v>
      </c>
      <c r="B6" s="140" t="s">
        <v>383</v>
      </c>
      <c r="C6" s="4" t="s">
        <v>385</v>
      </c>
      <c r="D6" s="4"/>
      <c r="E6" s="4"/>
      <c r="F6" s="4"/>
    </row>
    <row r="7" spans="1:6" ht="60" customHeight="1" x14ac:dyDescent="0.25">
      <c r="A7" s="139" t="s">
        <v>389</v>
      </c>
      <c r="B7" s="140" t="s">
        <v>388</v>
      </c>
      <c r="C7" s="4" t="s">
        <v>390</v>
      </c>
      <c r="D7" s="4"/>
      <c r="E7" s="4"/>
      <c r="F7" s="4"/>
    </row>
    <row r="8" spans="1:6" ht="60" customHeight="1" x14ac:dyDescent="0.25">
      <c r="A8" s="139" t="s">
        <v>399</v>
      </c>
      <c r="B8" s="140" t="s">
        <v>398</v>
      </c>
      <c r="C8" s="4" t="s">
        <v>400</v>
      </c>
      <c r="D8" s="4"/>
      <c r="E8" s="4"/>
      <c r="F8" s="4"/>
    </row>
    <row r="9" spans="1:6" s="138" customFormat="1" ht="18.75" x14ac:dyDescent="0.3">
      <c r="A9" s="5" t="s">
        <v>188</v>
      </c>
      <c r="B9" s="5"/>
      <c r="C9" s="5"/>
      <c r="D9" s="5"/>
      <c r="E9" s="5"/>
      <c r="F9" s="5"/>
    </row>
    <row r="10" spans="1:6" s="138" customFormat="1" ht="24" customHeight="1" x14ac:dyDescent="0.3">
      <c r="A10" s="139" t="s">
        <v>185</v>
      </c>
      <c r="B10" s="140" t="s">
        <v>166</v>
      </c>
      <c r="C10" s="141" t="s">
        <v>186</v>
      </c>
      <c r="D10" s="3" t="s">
        <v>706</v>
      </c>
      <c r="E10" s="3"/>
      <c r="F10" s="3"/>
    </row>
    <row r="11" spans="1:6" ht="36.75" customHeight="1" x14ac:dyDescent="0.25">
      <c r="A11" s="139" t="s">
        <v>493</v>
      </c>
      <c r="B11" s="140" t="s">
        <v>492</v>
      </c>
      <c r="C11" s="4" t="s">
        <v>494</v>
      </c>
      <c r="D11" s="4"/>
      <c r="E11" s="4"/>
      <c r="F11" s="4"/>
    </row>
    <row r="12" spans="1:6" ht="60" customHeight="1" x14ac:dyDescent="0.25">
      <c r="A12" s="139" t="s">
        <v>514</v>
      </c>
      <c r="B12" s="140" t="s">
        <v>513</v>
      </c>
      <c r="C12" s="141" t="s">
        <v>515</v>
      </c>
      <c r="D12" s="3" t="s">
        <v>480</v>
      </c>
      <c r="E12" s="3"/>
      <c r="F12" s="3"/>
    </row>
    <row r="13" spans="1:6" ht="96" customHeight="1" x14ac:dyDescent="0.25">
      <c r="A13" s="139" t="s">
        <v>524</v>
      </c>
      <c r="B13" s="140" t="s">
        <v>523</v>
      </c>
      <c r="C13" s="141" t="s">
        <v>525</v>
      </c>
      <c r="D13" s="3" t="s">
        <v>420</v>
      </c>
      <c r="E13" s="3"/>
      <c r="F13" s="3"/>
    </row>
    <row r="14" spans="1:6" ht="72" customHeight="1" x14ac:dyDescent="0.25">
      <c r="A14" s="139" t="s">
        <v>524</v>
      </c>
      <c r="B14" s="140" t="s">
        <v>523</v>
      </c>
      <c r="C14" s="141" t="s">
        <v>529</v>
      </c>
      <c r="D14" s="3" t="s">
        <v>420</v>
      </c>
      <c r="E14" s="3"/>
      <c r="F14" s="3"/>
    </row>
    <row r="15" spans="1:6" ht="48" customHeight="1" x14ac:dyDescent="0.25">
      <c r="A15" s="139" t="s">
        <v>531</v>
      </c>
      <c r="B15" s="140" t="s">
        <v>530</v>
      </c>
      <c r="C15" s="141" t="s">
        <v>532</v>
      </c>
      <c r="D15" s="3" t="s">
        <v>480</v>
      </c>
      <c r="E15" s="3"/>
      <c r="F15" s="3"/>
    </row>
    <row r="16" spans="1:6" s="138" customFormat="1" ht="18.75" x14ac:dyDescent="0.3">
      <c r="A16" s="5" t="s">
        <v>439</v>
      </c>
      <c r="B16" s="5"/>
      <c r="C16" s="5"/>
      <c r="D16" s="5"/>
      <c r="E16" s="5"/>
      <c r="F16" s="5"/>
    </row>
    <row r="17" spans="1:6" ht="32.25" customHeight="1" x14ac:dyDescent="0.25">
      <c r="A17" s="143" t="s">
        <v>437</v>
      </c>
      <c r="B17" s="140" t="s">
        <v>436</v>
      </c>
      <c r="C17" s="4" t="s">
        <v>824</v>
      </c>
      <c r="D17" s="4"/>
      <c r="E17" s="4"/>
      <c r="F17" s="4"/>
    </row>
    <row r="18" spans="1:6" s="138" customFormat="1" ht="18.75" x14ac:dyDescent="0.3">
      <c r="A18" s="5" t="s">
        <v>510</v>
      </c>
      <c r="B18" s="5"/>
      <c r="C18" s="5"/>
      <c r="D18" s="5"/>
      <c r="E18" s="5"/>
      <c r="F18" s="5"/>
    </row>
    <row r="19" spans="1:6" ht="36" customHeight="1" x14ac:dyDescent="0.25">
      <c r="A19" s="139" t="s">
        <v>508</v>
      </c>
      <c r="B19" s="140" t="s">
        <v>507</v>
      </c>
      <c r="C19" s="141" t="s">
        <v>509</v>
      </c>
      <c r="D19" s="3" t="s">
        <v>511</v>
      </c>
      <c r="E19" s="3"/>
      <c r="F19" s="3"/>
    </row>
    <row r="20" spans="1:6" s="138" customFormat="1" ht="18.75" x14ac:dyDescent="0.3">
      <c r="A20" s="5" t="s">
        <v>127</v>
      </c>
      <c r="B20" s="5"/>
      <c r="C20" s="5"/>
      <c r="D20" s="5"/>
      <c r="E20" s="5"/>
      <c r="F20" s="5"/>
    </row>
    <row r="21" spans="1:6" ht="48" x14ac:dyDescent="0.25">
      <c r="A21" s="139" t="s">
        <v>263</v>
      </c>
      <c r="B21" s="140" t="s">
        <v>262</v>
      </c>
      <c r="C21" s="141" t="s">
        <v>264</v>
      </c>
      <c r="D21" s="142" t="s">
        <v>126</v>
      </c>
      <c r="E21" s="142" t="s">
        <v>265</v>
      </c>
      <c r="F21" s="142" t="s">
        <v>266</v>
      </c>
    </row>
    <row r="22" spans="1:6" ht="48" x14ac:dyDescent="0.25">
      <c r="A22" s="139" t="s">
        <v>269</v>
      </c>
      <c r="B22" s="140" t="s">
        <v>268</v>
      </c>
      <c r="C22" s="141" t="s">
        <v>270</v>
      </c>
      <c r="D22" s="142" t="s">
        <v>126</v>
      </c>
      <c r="E22" s="142" t="s">
        <v>265</v>
      </c>
      <c r="F22" s="142" t="s">
        <v>128</v>
      </c>
    </row>
    <row r="23" spans="1:6" ht="36" customHeight="1" x14ac:dyDescent="0.25">
      <c r="A23" s="139" t="s">
        <v>474</v>
      </c>
      <c r="B23" s="140" t="s">
        <v>473</v>
      </c>
      <c r="C23" s="141" t="s">
        <v>475</v>
      </c>
      <c r="D23" s="3" t="s">
        <v>128</v>
      </c>
      <c r="E23" s="3"/>
      <c r="F23" s="3"/>
    </row>
    <row r="24" spans="1:6" s="138" customFormat="1" ht="18.75" x14ac:dyDescent="0.3">
      <c r="A24" s="5" t="s">
        <v>119</v>
      </c>
      <c r="B24" s="5"/>
      <c r="C24" s="5"/>
      <c r="D24" s="5"/>
      <c r="E24" s="5"/>
      <c r="F24" s="5"/>
    </row>
    <row r="25" spans="1:6" ht="36" customHeight="1" x14ac:dyDescent="0.25">
      <c r="A25" s="139" t="s">
        <v>115</v>
      </c>
      <c r="B25" s="140" t="s">
        <v>114</v>
      </c>
      <c r="C25" s="141" t="s">
        <v>116</v>
      </c>
      <c r="D25" s="3" t="s">
        <v>120</v>
      </c>
      <c r="E25" s="3"/>
      <c r="F25" s="3"/>
    </row>
    <row r="26" spans="1:6" ht="28.5" customHeight="1" x14ac:dyDescent="0.25">
      <c r="A26" s="139" t="s">
        <v>423</v>
      </c>
      <c r="B26" s="140" t="s">
        <v>416</v>
      </c>
      <c r="C26" s="4" t="s">
        <v>424</v>
      </c>
      <c r="D26" s="4"/>
      <c r="E26" s="4"/>
      <c r="F26" s="4"/>
    </row>
    <row r="27" spans="1:6" s="138" customFormat="1" ht="18.75" x14ac:dyDescent="0.3">
      <c r="A27" s="5" t="s">
        <v>420</v>
      </c>
      <c r="B27" s="5"/>
      <c r="C27" s="5"/>
      <c r="D27" s="5"/>
      <c r="E27" s="5"/>
      <c r="F27" s="5"/>
    </row>
    <row r="28" spans="1:6" ht="72" customHeight="1" x14ac:dyDescent="0.25">
      <c r="A28" s="139" t="s">
        <v>417</v>
      </c>
      <c r="B28" s="140" t="s">
        <v>416</v>
      </c>
      <c r="C28" s="141" t="s">
        <v>418</v>
      </c>
      <c r="D28" s="3" t="s">
        <v>119</v>
      </c>
      <c r="E28" s="3"/>
      <c r="F28" s="3"/>
    </row>
    <row r="29" spans="1:6" s="138" customFormat="1" ht="18.75" x14ac:dyDescent="0.3">
      <c r="A29" s="5" t="s">
        <v>63</v>
      </c>
      <c r="B29" s="5"/>
      <c r="C29" s="5"/>
      <c r="D29" s="5"/>
      <c r="E29" s="5"/>
      <c r="F29" s="5"/>
    </row>
    <row r="30" spans="1:6" ht="48" customHeight="1" x14ac:dyDescent="0.25">
      <c r="A30" s="139" t="s">
        <v>76</v>
      </c>
      <c r="B30" s="140" t="s">
        <v>75</v>
      </c>
      <c r="C30" s="141" t="s">
        <v>77</v>
      </c>
      <c r="D30" s="3" t="s">
        <v>62</v>
      </c>
      <c r="E30" s="3"/>
      <c r="F30" s="3"/>
    </row>
    <row r="31" spans="1:6" ht="36" customHeight="1" x14ac:dyDescent="0.25">
      <c r="A31" s="139" t="s">
        <v>150</v>
      </c>
      <c r="B31" s="140" t="s">
        <v>149</v>
      </c>
      <c r="C31" s="141" t="s">
        <v>825</v>
      </c>
      <c r="D31" s="3" t="s">
        <v>153</v>
      </c>
      <c r="E31" s="3"/>
      <c r="F31" s="3"/>
    </row>
    <row r="32" spans="1:6" ht="36" customHeight="1" x14ac:dyDescent="0.25">
      <c r="A32" s="139" t="s">
        <v>217</v>
      </c>
      <c r="B32" s="140" t="s">
        <v>46</v>
      </c>
      <c r="C32" s="141" t="s">
        <v>218</v>
      </c>
      <c r="D32" s="3" t="s">
        <v>52</v>
      </c>
      <c r="E32" s="3"/>
      <c r="F32" s="3"/>
    </row>
    <row r="33" spans="1:6" ht="36" customHeight="1" x14ac:dyDescent="0.25">
      <c r="A33" s="139" t="s">
        <v>226</v>
      </c>
      <c r="B33" s="140" t="s">
        <v>225</v>
      </c>
      <c r="C33" s="141" t="s">
        <v>227</v>
      </c>
      <c r="D33" s="3" t="s">
        <v>62</v>
      </c>
      <c r="E33" s="3"/>
      <c r="F33" s="3"/>
    </row>
    <row r="34" spans="1:6" ht="36" customHeight="1" x14ac:dyDescent="0.25">
      <c r="A34" s="139" t="s">
        <v>258</v>
      </c>
      <c r="B34" s="140" t="s">
        <v>225</v>
      </c>
      <c r="C34" s="141" t="s">
        <v>826</v>
      </c>
      <c r="D34" s="3" t="s">
        <v>62</v>
      </c>
      <c r="E34" s="3"/>
      <c r="F34" s="3"/>
    </row>
    <row r="35" spans="1:6" ht="36" customHeight="1" x14ac:dyDescent="0.25">
      <c r="A35" s="139" t="s">
        <v>273</v>
      </c>
      <c r="B35" s="140" t="s">
        <v>225</v>
      </c>
      <c r="C35" s="141" t="s">
        <v>274</v>
      </c>
      <c r="D35" s="3" t="s">
        <v>153</v>
      </c>
      <c r="E35" s="3"/>
      <c r="F35" s="3"/>
    </row>
    <row r="36" spans="1:6" ht="60" customHeight="1" x14ac:dyDescent="0.25">
      <c r="A36" s="139" t="s">
        <v>276</v>
      </c>
      <c r="B36" s="140" t="s">
        <v>75</v>
      </c>
      <c r="C36" s="141" t="s">
        <v>277</v>
      </c>
      <c r="D36" s="3" t="s">
        <v>153</v>
      </c>
      <c r="E36" s="3"/>
      <c r="F36" s="3"/>
    </row>
    <row r="37" spans="1:6" ht="48" customHeight="1" x14ac:dyDescent="0.25">
      <c r="A37" s="139" t="s">
        <v>278</v>
      </c>
      <c r="B37" s="140" t="s">
        <v>225</v>
      </c>
      <c r="C37" s="141" t="s">
        <v>827</v>
      </c>
      <c r="D37" s="3" t="s">
        <v>153</v>
      </c>
      <c r="E37" s="3"/>
      <c r="F37" s="3"/>
    </row>
    <row r="38" spans="1:6" s="138" customFormat="1" ht="18.75" x14ac:dyDescent="0.3">
      <c r="A38" s="5" t="s">
        <v>128</v>
      </c>
      <c r="B38" s="5"/>
      <c r="C38" s="5"/>
      <c r="D38" s="5"/>
      <c r="E38" s="5"/>
      <c r="F38" s="5"/>
    </row>
    <row r="39" spans="1:6" ht="33" customHeight="1" x14ac:dyDescent="0.25">
      <c r="A39" s="139" t="s">
        <v>485</v>
      </c>
      <c r="B39" s="140" t="s">
        <v>484</v>
      </c>
      <c r="C39" s="4" t="s">
        <v>486</v>
      </c>
      <c r="D39" s="4"/>
      <c r="E39" s="4"/>
      <c r="F39" s="4"/>
    </row>
    <row r="40" spans="1:6" ht="45" customHeight="1" x14ac:dyDescent="0.25">
      <c r="A40" s="139" t="s">
        <v>498</v>
      </c>
      <c r="B40" s="140" t="s">
        <v>497</v>
      </c>
      <c r="C40" s="4" t="s">
        <v>499</v>
      </c>
      <c r="D40" s="4"/>
      <c r="E40" s="4"/>
      <c r="F40" s="4"/>
    </row>
    <row r="41" spans="1:6" ht="48" customHeight="1" x14ac:dyDescent="0.25">
      <c r="A41" s="139" t="s">
        <v>550</v>
      </c>
      <c r="B41" s="140" t="s">
        <v>488</v>
      </c>
      <c r="C41" s="141" t="s">
        <v>551</v>
      </c>
      <c r="D41" s="3" t="s">
        <v>127</v>
      </c>
      <c r="E41" s="3"/>
      <c r="F41" s="3"/>
    </row>
    <row r="42" spans="1:6" ht="48" customHeight="1" x14ac:dyDescent="0.25">
      <c r="A42" s="139" t="s">
        <v>561</v>
      </c>
      <c r="B42" s="140" t="s">
        <v>553</v>
      </c>
      <c r="C42" s="25" t="s">
        <v>562</v>
      </c>
      <c r="D42" s="3" t="s">
        <v>127</v>
      </c>
      <c r="E42" s="3"/>
      <c r="F42" s="3"/>
    </row>
    <row r="43" spans="1:6" s="138" customFormat="1" ht="18.75" x14ac:dyDescent="0.3">
      <c r="A43" s="5" t="s">
        <v>332</v>
      </c>
      <c r="B43" s="5"/>
      <c r="C43" s="5"/>
      <c r="D43" s="5"/>
      <c r="E43" s="5"/>
      <c r="F43" s="5"/>
    </row>
    <row r="44" spans="1:6" ht="60" customHeight="1" x14ac:dyDescent="0.25">
      <c r="A44" s="139" t="s">
        <v>329</v>
      </c>
      <c r="B44" s="140" t="s">
        <v>328</v>
      </c>
      <c r="C44" s="141" t="s">
        <v>330</v>
      </c>
      <c r="D44" s="3" t="s">
        <v>333</v>
      </c>
      <c r="E44" s="3"/>
      <c r="F44" s="3"/>
    </row>
    <row r="45" spans="1:6" ht="108" customHeight="1" x14ac:dyDescent="0.25">
      <c r="A45" s="139" t="s">
        <v>393</v>
      </c>
      <c r="B45" s="140" t="s">
        <v>392</v>
      </c>
      <c r="C45" s="141" t="s">
        <v>394</v>
      </c>
      <c r="D45" s="3" t="s">
        <v>396</v>
      </c>
      <c r="E45" s="3"/>
      <c r="F45" s="3"/>
    </row>
    <row r="46" spans="1:6" s="138" customFormat="1" ht="18.75" x14ac:dyDescent="0.3">
      <c r="A46" s="5" t="s">
        <v>153</v>
      </c>
      <c r="B46" s="5"/>
      <c r="C46" s="5"/>
      <c r="D46" s="5"/>
      <c r="E46" s="5"/>
      <c r="F46" s="5"/>
    </row>
    <row r="47" spans="1:6" ht="48" customHeight="1" x14ac:dyDescent="0.25">
      <c r="A47" s="139" t="s">
        <v>749</v>
      </c>
      <c r="B47" s="140" t="s">
        <v>46</v>
      </c>
      <c r="C47" s="141" t="s">
        <v>750</v>
      </c>
      <c r="D47" s="3" t="s">
        <v>62</v>
      </c>
      <c r="E47" s="3"/>
      <c r="F47" s="3"/>
    </row>
    <row r="48" spans="1:6" ht="24" customHeight="1" x14ac:dyDescent="0.25">
      <c r="A48" s="139" t="s">
        <v>294</v>
      </c>
      <c r="B48" s="140" t="s">
        <v>293</v>
      </c>
      <c r="C48" s="141" t="s">
        <v>295</v>
      </c>
      <c r="D48" s="3" t="s">
        <v>296</v>
      </c>
      <c r="E48" s="3"/>
      <c r="F48" s="3"/>
    </row>
    <row r="49" spans="1:6" ht="36" customHeight="1" x14ac:dyDescent="0.25">
      <c r="A49" s="139" t="s">
        <v>311</v>
      </c>
      <c r="B49" s="140" t="s">
        <v>293</v>
      </c>
      <c r="C49" s="141" t="s">
        <v>312</v>
      </c>
      <c r="D49" s="3" t="s">
        <v>296</v>
      </c>
      <c r="E49" s="3"/>
      <c r="F49" s="3"/>
    </row>
    <row r="50" spans="1:6" ht="27" customHeight="1" x14ac:dyDescent="0.25">
      <c r="A50" s="139" t="s">
        <v>325</v>
      </c>
      <c r="B50" s="140" t="s">
        <v>293</v>
      </c>
      <c r="C50" s="4" t="s">
        <v>326</v>
      </c>
      <c r="D50" s="4"/>
      <c r="E50" s="4"/>
      <c r="F50" s="4"/>
    </row>
    <row r="51" spans="1:6" ht="42" customHeight="1" x14ac:dyDescent="0.25">
      <c r="A51" s="139" t="s">
        <v>547</v>
      </c>
      <c r="B51" s="140" t="s">
        <v>546</v>
      </c>
      <c r="C51" s="4" t="s">
        <v>548</v>
      </c>
      <c r="D51" s="4"/>
      <c r="E51" s="4"/>
      <c r="F51" s="4"/>
    </row>
    <row r="52" spans="1:6" s="144" customFormat="1" ht="19.5" x14ac:dyDescent="0.3">
      <c r="A52" s="5" t="s">
        <v>170</v>
      </c>
      <c r="B52" s="5"/>
      <c r="C52" s="5"/>
      <c r="D52" s="5"/>
      <c r="E52" s="5"/>
      <c r="F52" s="5"/>
    </row>
    <row r="53" spans="1:6" ht="33" customHeight="1" x14ac:dyDescent="0.25">
      <c r="A53" s="139" t="s">
        <v>167</v>
      </c>
      <c r="B53" s="140" t="s">
        <v>166</v>
      </c>
      <c r="C53" s="4" t="s">
        <v>168</v>
      </c>
      <c r="D53" s="4"/>
      <c r="E53" s="4"/>
      <c r="F53" s="4"/>
    </row>
    <row r="54" spans="1:6" ht="33" customHeight="1" x14ac:dyDescent="0.25">
      <c r="A54" s="139" t="s">
        <v>203</v>
      </c>
      <c r="B54" s="140" t="s">
        <v>202</v>
      </c>
      <c r="C54" s="4" t="s">
        <v>828</v>
      </c>
      <c r="D54" s="4"/>
      <c r="E54" s="4"/>
      <c r="F54" s="4"/>
    </row>
    <row r="55" spans="1:6" ht="34.5" customHeight="1" x14ac:dyDescent="0.25">
      <c r="A55" s="139" t="s">
        <v>426</v>
      </c>
      <c r="B55" s="140" t="s">
        <v>416</v>
      </c>
      <c r="C55" s="4" t="s">
        <v>427</v>
      </c>
      <c r="D55" s="4"/>
      <c r="E55" s="4"/>
      <c r="F55" s="4"/>
    </row>
    <row r="56" spans="1:6" s="138" customFormat="1" ht="18.75" x14ac:dyDescent="0.3">
      <c r="A56" s="5" t="s">
        <v>126</v>
      </c>
      <c r="B56" s="5"/>
      <c r="C56" s="5"/>
      <c r="D56" s="5"/>
      <c r="E56" s="5"/>
      <c r="F56" s="5"/>
    </row>
    <row r="57" spans="1:6" ht="48" x14ac:dyDescent="0.25">
      <c r="A57" s="139" t="s">
        <v>122</v>
      </c>
      <c r="B57" s="140" t="s">
        <v>121</v>
      </c>
      <c r="C57" s="141" t="s">
        <v>123</v>
      </c>
      <c r="D57" s="142" t="s">
        <v>127</v>
      </c>
      <c r="E57" s="142" t="s">
        <v>128</v>
      </c>
      <c r="F57" s="142" t="s">
        <v>129</v>
      </c>
    </row>
    <row r="58" spans="1:6" ht="60" customHeight="1" x14ac:dyDescent="0.25">
      <c r="A58" s="139" t="s">
        <v>181</v>
      </c>
      <c r="B58" s="140" t="s">
        <v>46</v>
      </c>
      <c r="C58" s="141" t="s">
        <v>182</v>
      </c>
      <c r="D58" s="3" t="s">
        <v>127</v>
      </c>
      <c r="E58" s="3"/>
      <c r="F58" s="3"/>
    </row>
    <row r="59" spans="1:6" s="138" customFormat="1" ht="18.75" x14ac:dyDescent="0.3">
      <c r="A59" s="5" t="s">
        <v>102</v>
      </c>
      <c r="B59" s="5"/>
      <c r="C59" s="5"/>
      <c r="D59" s="5"/>
      <c r="E59" s="5"/>
      <c r="F59" s="5"/>
    </row>
    <row r="60" spans="1:6" ht="35.25" customHeight="1" x14ac:dyDescent="0.25">
      <c r="A60" s="139" t="s">
        <v>98</v>
      </c>
      <c r="B60" s="140" t="s">
        <v>97</v>
      </c>
      <c r="C60" s="4" t="s">
        <v>99</v>
      </c>
      <c r="D60" s="4"/>
      <c r="E60" s="4"/>
      <c r="F60" s="4"/>
    </row>
    <row r="61" spans="1:6" ht="60" customHeight="1" x14ac:dyDescent="0.25">
      <c r="A61" s="139" t="s">
        <v>144</v>
      </c>
      <c r="B61" s="141" t="s">
        <v>143</v>
      </c>
      <c r="C61" s="141" t="s">
        <v>829</v>
      </c>
      <c r="D61" s="3" t="s">
        <v>119</v>
      </c>
      <c r="E61" s="3"/>
      <c r="F61" s="3"/>
    </row>
    <row r="62" spans="1:6" s="138" customFormat="1" ht="18.75" x14ac:dyDescent="0.3">
      <c r="A62" s="5" t="s">
        <v>357</v>
      </c>
      <c r="B62" s="5"/>
      <c r="C62" s="5"/>
      <c r="D62" s="5"/>
      <c r="E62" s="5"/>
      <c r="F62" s="5"/>
    </row>
    <row r="63" spans="1:6" ht="48" x14ac:dyDescent="0.25">
      <c r="A63" s="139" t="s">
        <v>359</v>
      </c>
      <c r="B63" s="140" t="s">
        <v>358</v>
      </c>
      <c r="C63" s="141" t="s">
        <v>360</v>
      </c>
      <c r="D63" s="142" t="s">
        <v>830</v>
      </c>
      <c r="E63" s="142" t="s">
        <v>361</v>
      </c>
      <c r="F63" s="142" t="s">
        <v>362</v>
      </c>
    </row>
    <row r="64" spans="1:6" s="138" customFormat="1" ht="18.75" x14ac:dyDescent="0.3">
      <c r="A64" s="5" t="s">
        <v>120</v>
      </c>
      <c r="B64" s="5"/>
      <c r="C64" s="5"/>
      <c r="D64" s="5"/>
      <c r="E64" s="5"/>
      <c r="F64" s="5"/>
    </row>
    <row r="65" spans="1:6" ht="48" customHeight="1" x14ac:dyDescent="0.25">
      <c r="A65" s="139" t="s">
        <v>212</v>
      </c>
      <c r="B65" s="140" t="s">
        <v>114</v>
      </c>
      <c r="C65" s="141" t="s">
        <v>213</v>
      </c>
      <c r="D65" s="3" t="s">
        <v>119</v>
      </c>
      <c r="E65" s="3"/>
      <c r="F65" s="3"/>
    </row>
    <row r="66" spans="1:6" s="138" customFormat="1" ht="18.75" x14ac:dyDescent="0.3">
      <c r="A66" s="5" t="s">
        <v>452</v>
      </c>
      <c r="B66" s="5"/>
      <c r="C66" s="5"/>
      <c r="D66" s="5"/>
      <c r="E66" s="5"/>
      <c r="F66" s="5"/>
    </row>
    <row r="67" spans="1:6" ht="36" customHeight="1" x14ac:dyDescent="0.25">
      <c r="A67" s="139" t="s">
        <v>449</v>
      </c>
      <c r="B67" s="140" t="s">
        <v>448</v>
      </c>
      <c r="C67" s="141" t="s">
        <v>450</v>
      </c>
      <c r="D67" s="3" t="s">
        <v>453</v>
      </c>
      <c r="E67" s="3"/>
      <c r="F67" s="3"/>
    </row>
    <row r="68" spans="1:6" s="138" customFormat="1" ht="18.75" x14ac:dyDescent="0.3">
      <c r="A68" s="5" t="s">
        <v>346</v>
      </c>
      <c r="B68" s="5"/>
      <c r="C68" s="5"/>
      <c r="D68" s="5"/>
      <c r="E68" s="5"/>
      <c r="F68" s="5"/>
    </row>
    <row r="69" spans="1:6" ht="29.25" customHeight="1" x14ac:dyDescent="0.25">
      <c r="A69" s="139" t="s">
        <v>344</v>
      </c>
      <c r="B69" s="140" t="s">
        <v>343</v>
      </c>
      <c r="C69" s="4" t="s">
        <v>345</v>
      </c>
      <c r="D69" s="4"/>
      <c r="E69" s="4"/>
      <c r="F69" s="4"/>
    </row>
    <row r="70" spans="1:6" s="138" customFormat="1" ht="18.75" x14ac:dyDescent="0.3">
      <c r="A70" s="5" t="s">
        <v>504</v>
      </c>
      <c r="B70" s="5"/>
      <c r="C70" s="5"/>
      <c r="D70" s="5"/>
      <c r="E70" s="5"/>
      <c r="F70" s="5"/>
    </row>
    <row r="71" spans="1:6" ht="32.25" customHeight="1" x14ac:dyDescent="0.25">
      <c r="A71" s="139" t="s">
        <v>502</v>
      </c>
      <c r="B71" s="140" t="s">
        <v>173</v>
      </c>
      <c r="C71" s="4" t="s">
        <v>503</v>
      </c>
      <c r="D71" s="4"/>
      <c r="E71" s="4"/>
      <c r="F71" s="4"/>
    </row>
    <row r="72" spans="1:6" ht="48" customHeight="1" x14ac:dyDescent="0.25">
      <c r="A72" s="139" t="s">
        <v>517</v>
      </c>
      <c r="B72" s="140" t="s">
        <v>473</v>
      </c>
      <c r="C72" s="141" t="s">
        <v>518</v>
      </c>
      <c r="D72" s="3" t="s">
        <v>102</v>
      </c>
      <c r="E72" s="3"/>
      <c r="F72" s="3"/>
    </row>
    <row r="73" spans="1:6" ht="39" customHeight="1" x14ac:dyDescent="0.25">
      <c r="A73" s="139" t="s">
        <v>543</v>
      </c>
      <c r="B73" s="140" t="s">
        <v>473</v>
      </c>
      <c r="C73" s="4" t="s">
        <v>544</v>
      </c>
      <c r="D73" s="4"/>
      <c r="E73" s="4"/>
      <c r="F73" s="4"/>
    </row>
    <row r="74" spans="1:6" s="138" customFormat="1" ht="18.75" x14ac:dyDescent="0.3">
      <c r="A74" s="5" t="s">
        <v>242</v>
      </c>
      <c r="B74" s="5"/>
      <c r="C74" s="5"/>
      <c r="D74" s="5"/>
      <c r="E74" s="5"/>
      <c r="F74" s="5"/>
    </row>
    <row r="75" spans="1:6" ht="24" customHeight="1" x14ac:dyDescent="0.25">
      <c r="A75" s="139" t="s">
        <v>47</v>
      </c>
      <c r="B75" s="140" t="s">
        <v>46</v>
      </c>
      <c r="C75" s="141" t="s">
        <v>48</v>
      </c>
      <c r="D75" s="3" t="s">
        <v>53</v>
      </c>
      <c r="E75" s="3"/>
      <c r="F75" s="3"/>
    </row>
    <row r="76" spans="1:6" ht="35.25" customHeight="1" x14ac:dyDescent="0.25">
      <c r="A76" s="139" t="s">
        <v>106</v>
      </c>
      <c r="B76" s="140" t="s">
        <v>105</v>
      </c>
      <c r="C76" s="4" t="s">
        <v>107</v>
      </c>
      <c r="D76" s="4"/>
      <c r="E76" s="4"/>
      <c r="F76" s="4"/>
    </row>
    <row r="77" spans="1:6" ht="36" customHeight="1" x14ac:dyDescent="0.25">
      <c r="A77" s="139" t="s">
        <v>110</v>
      </c>
      <c r="B77" s="140" t="s">
        <v>109</v>
      </c>
      <c r="C77" s="141" t="s">
        <v>111</v>
      </c>
      <c r="D77" s="3" t="s">
        <v>53</v>
      </c>
      <c r="E77" s="3"/>
      <c r="F77" s="3"/>
    </row>
    <row r="78" spans="1:6" ht="24" customHeight="1" x14ac:dyDescent="0.25">
      <c r="A78" s="139" t="s">
        <v>139</v>
      </c>
      <c r="B78" s="140" t="s">
        <v>46</v>
      </c>
      <c r="C78" s="141" t="s">
        <v>140</v>
      </c>
      <c r="D78" s="3" t="s">
        <v>142</v>
      </c>
      <c r="E78" s="3"/>
      <c r="F78" s="3"/>
    </row>
    <row r="79" spans="1:6" ht="48" customHeight="1" x14ac:dyDescent="0.25">
      <c r="A79" s="139" t="s">
        <v>157</v>
      </c>
      <c r="B79" s="140" t="s">
        <v>156</v>
      </c>
      <c r="C79" s="141" t="s">
        <v>158</v>
      </c>
      <c r="D79" s="3" t="s">
        <v>53</v>
      </c>
      <c r="E79" s="3"/>
      <c r="F79" s="3"/>
    </row>
    <row r="80" spans="1:6" ht="33.75" customHeight="1" x14ac:dyDescent="0.25">
      <c r="A80" s="139" t="s">
        <v>744</v>
      </c>
      <c r="B80" s="140" t="s">
        <v>745</v>
      </c>
      <c r="C80" s="4" t="s">
        <v>831</v>
      </c>
      <c r="D80" s="4"/>
      <c r="E80" s="4"/>
      <c r="F80" s="4"/>
    </row>
    <row r="81" spans="1:6" ht="36" customHeight="1" x14ac:dyDescent="0.25">
      <c r="A81" s="139" t="s">
        <v>197</v>
      </c>
      <c r="B81" s="140" t="s">
        <v>81</v>
      </c>
      <c r="C81" s="141" t="s">
        <v>198</v>
      </c>
      <c r="D81" s="3" t="s">
        <v>53</v>
      </c>
      <c r="E81" s="3"/>
      <c r="F81" s="3"/>
    </row>
    <row r="82" spans="1:6" ht="36" customHeight="1" x14ac:dyDescent="0.25">
      <c r="A82" s="139" t="s">
        <v>239</v>
      </c>
      <c r="B82" s="140" t="s">
        <v>46</v>
      </c>
      <c r="C82" s="141" t="s">
        <v>240</v>
      </c>
      <c r="D82" s="3" t="s">
        <v>142</v>
      </c>
      <c r="E82" s="3"/>
      <c r="F82" s="3"/>
    </row>
    <row r="83" spans="1:6" ht="36" customHeight="1" x14ac:dyDescent="0.25">
      <c r="A83" s="139" t="s">
        <v>239</v>
      </c>
      <c r="B83" s="140" t="s">
        <v>46</v>
      </c>
      <c r="C83" s="141" t="s">
        <v>246</v>
      </c>
      <c r="D83" s="3" t="s">
        <v>142</v>
      </c>
      <c r="E83" s="3"/>
      <c r="F83" s="3"/>
    </row>
    <row r="84" spans="1:6" ht="36" customHeight="1" x14ac:dyDescent="0.25">
      <c r="A84" s="139" t="s">
        <v>239</v>
      </c>
      <c r="B84" s="140" t="s">
        <v>46</v>
      </c>
      <c r="C84" s="141" t="s">
        <v>248</v>
      </c>
      <c r="D84" s="3" t="s">
        <v>142</v>
      </c>
      <c r="E84" s="3"/>
      <c r="F84" s="3"/>
    </row>
    <row r="85" spans="1:6" ht="48" customHeight="1" x14ac:dyDescent="0.25">
      <c r="A85" s="139" t="s">
        <v>282</v>
      </c>
      <c r="B85" s="140" t="s">
        <v>281</v>
      </c>
      <c r="C85" s="141" t="s">
        <v>283</v>
      </c>
      <c r="D85" s="3" t="s">
        <v>142</v>
      </c>
      <c r="E85" s="3"/>
      <c r="F85" s="3"/>
    </row>
    <row r="86" spans="1:6" ht="36" customHeight="1" x14ac:dyDescent="0.25">
      <c r="A86" s="139" t="s">
        <v>282</v>
      </c>
      <c r="B86" s="140" t="s">
        <v>46</v>
      </c>
      <c r="C86" s="141" t="s">
        <v>285</v>
      </c>
      <c r="D86" s="3" t="s">
        <v>142</v>
      </c>
      <c r="E86" s="3"/>
      <c r="F86" s="3"/>
    </row>
    <row r="87" spans="1:6" ht="72" customHeight="1" x14ac:dyDescent="0.25">
      <c r="A87" s="139" t="s">
        <v>305</v>
      </c>
      <c r="B87" s="140" t="s">
        <v>46</v>
      </c>
      <c r="C87" s="141" t="s">
        <v>306</v>
      </c>
      <c r="D87" s="3" t="s">
        <v>142</v>
      </c>
      <c r="E87" s="3"/>
      <c r="F87" s="3"/>
    </row>
    <row r="88" spans="1:6" ht="36" customHeight="1" x14ac:dyDescent="0.25">
      <c r="A88" s="139" t="s">
        <v>309</v>
      </c>
      <c r="B88" s="140" t="s">
        <v>46</v>
      </c>
      <c r="C88" s="141" t="s">
        <v>310</v>
      </c>
      <c r="D88" s="3" t="s">
        <v>142</v>
      </c>
      <c r="E88" s="3"/>
      <c r="F88" s="3"/>
    </row>
    <row r="89" spans="1:6" ht="24" customHeight="1" x14ac:dyDescent="0.25">
      <c r="A89" s="139" t="s">
        <v>314</v>
      </c>
      <c r="B89" s="140" t="s">
        <v>46</v>
      </c>
      <c r="C89" s="141" t="s">
        <v>832</v>
      </c>
      <c r="D89" s="3" t="s">
        <v>142</v>
      </c>
      <c r="E89" s="3"/>
      <c r="F89" s="3"/>
    </row>
    <row r="90" spans="1:6" ht="39.75" customHeight="1" x14ac:dyDescent="0.25">
      <c r="A90" s="139" t="s">
        <v>455</v>
      </c>
      <c r="B90" s="140" t="s">
        <v>454</v>
      </c>
      <c r="C90" s="4" t="s">
        <v>456</v>
      </c>
      <c r="D90" s="4"/>
      <c r="E90" s="4"/>
      <c r="F90" s="4"/>
    </row>
    <row r="91" spans="1:6" s="138" customFormat="1" ht="18.75" x14ac:dyDescent="0.3">
      <c r="A91" s="5" t="s">
        <v>368</v>
      </c>
      <c r="B91" s="5"/>
      <c r="C91" s="5"/>
      <c r="D91" s="5"/>
      <c r="E91" s="5"/>
      <c r="F91" s="5"/>
    </row>
    <row r="92" spans="1:6" ht="85.5" customHeight="1" x14ac:dyDescent="0.25">
      <c r="A92" s="139" t="s">
        <v>366</v>
      </c>
      <c r="B92" s="140" t="s">
        <v>365</v>
      </c>
      <c r="C92" s="4" t="s">
        <v>367</v>
      </c>
      <c r="D92" s="4"/>
      <c r="E92" s="4"/>
      <c r="F92" s="4"/>
    </row>
    <row r="93" spans="1:6" s="138" customFormat="1" ht="18.75" x14ac:dyDescent="0.3">
      <c r="A93" s="5" t="s">
        <v>236</v>
      </c>
      <c r="B93" s="5"/>
      <c r="C93" s="5"/>
      <c r="D93" s="5"/>
      <c r="E93" s="5"/>
      <c r="F93" s="5"/>
    </row>
    <row r="94" spans="1:6" ht="30.75" customHeight="1" x14ac:dyDescent="0.25">
      <c r="A94" s="139" t="s">
        <v>340</v>
      </c>
      <c r="B94" s="140" t="s">
        <v>339</v>
      </c>
      <c r="C94" s="4" t="s">
        <v>341</v>
      </c>
      <c r="D94" s="4"/>
      <c r="E94" s="4"/>
      <c r="F94" s="4"/>
    </row>
    <row r="95" spans="1:6" ht="48" customHeight="1" x14ac:dyDescent="0.25">
      <c r="A95" s="139" t="s">
        <v>354</v>
      </c>
      <c r="B95" s="140" t="s">
        <v>232</v>
      </c>
      <c r="C95" s="141" t="s">
        <v>355</v>
      </c>
      <c r="D95" s="3" t="s">
        <v>235</v>
      </c>
      <c r="E95" s="3"/>
      <c r="F95" s="3"/>
    </row>
    <row r="96" spans="1:6" ht="40.5" customHeight="1" x14ac:dyDescent="0.25">
      <c r="A96" s="139" t="s">
        <v>403</v>
      </c>
      <c r="B96" s="140" t="s">
        <v>402</v>
      </c>
      <c r="C96" s="4" t="s">
        <v>404</v>
      </c>
      <c r="D96" s="4"/>
      <c r="E96" s="4"/>
      <c r="F96" s="4"/>
    </row>
    <row r="97" spans="1:6" s="138" customFormat="1" ht="18.75" x14ac:dyDescent="0.3">
      <c r="A97" s="5" t="s">
        <v>833</v>
      </c>
      <c r="B97" s="5"/>
      <c r="C97" s="5"/>
      <c r="D97" s="5"/>
      <c r="E97" s="5"/>
      <c r="F97" s="5"/>
    </row>
    <row r="98" spans="1:6" ht="24" customHeight="1" x14ac:dyDescent="0.25">
      <c r="A98" s="139" t="s">
        <v>174</v>
      </c>
      <c r="B98" s="140" t="s">
        <v>173</v>
      </c>
      <c r="C98" s="141" t="s">
        <v>175</v>
      </c>
      <c r="D98" s="3" t="s">
        <v>177</v>
      </c>
      <c r="E98" s="3"/>
      <c r="F98" s="3"/>
    </row>
    <row r="99" spans="1:6" ht="48" customHeight="1" x14ac:dyDescent="0.25">
      <c r="A99" s="139" t="s">
        <v>191</v>
      </c>
      <c r="B99" s="140" t="s">
        <v>190</v>
      </c>
      <c r="C99" s="141" t="s">
        <v>192</v>
      </c>
      <c r="D99" s="3" t="s">
        <v>53</v>
      </c>
      <c r="E99" s="3"/>
      <c r="F99" s="3"/>
    </row>
    <row r="100" spans="1:6" ht="24" customHeight="1" x14ac:dyDescent="0.25">
      <c r="A100" s="139" t="s">
        <v>207</v>
      </c>
      <c r="B100" s="140" t="s">
        <v>166</v>
      </c>
      <c r="C100" s="141" t="s">
        <v>208</v>
      </c>
      <c r="D100" s="3" t="s">
        <v>177</v>
      </c>
      <c r="E100" s="3"/>
      <c r="F100" s="3"/>
    </row>
    <row r="101" spans="1:6" ht="84" customHeight="1" x14ac:dyDescent="0.25">
      <c r="A101" s="139" t="s">
        <v>286</v>
      </c>
      <c r="B101" s="140" t="s">
        <v>81</v>
      </c>
      <c r="C101" s="141" t="s">
        <v>287</v>
      </c>
      <c r="D101" s="3" t="s">
        <v>62</v>
      </c>
      <c r="E101" s="3"/>
      <c r="F101" s="3"/>
    </row>
    <row r="102" spans="1:6" ht="24" customHeight="1" x14ac:dyDescent="0.25">
      <c r="A102" s="139" t="s">
        <v>290</v>
      </c>
      <c r="B102" s="140" t="s">
        <v>289</v>
      </c>
      <c r="C102" s="141" t="s">
        <v>291</v>
      </c>
      <c r="D102" s="3" t="s">
        <v>62</v>
      </c>
      <c r="E102" s="3"/>
      <c r="F102" s="3"/>
    </row>
    <row r="103" spans="1:6" ht="24" customHeight="1" x14ac:dyDescent="0.25">
      <c r="A103" s="139" t="s">
        <v>318</v>
      </c>
      <c r="B103" s="140" t="s">
        <v>105</v>
      </c>
      <c r="C103" s="141" t="s">
        <v>319</v>
      </c>
      <c r="D103" s="3" t="s">
        <v>62</v>
      </c>
      <c r="E103" s="3"/>
      <c r="F103" s="3"/>
    </row>
    <row r="104" spans="1:6" s="138" customFormat="1" ht="18.75" x14ac:dyDescent="0.3">
      <c r="A104" s="5" t="s">
        <v>62</v>
      </c>
      <c r="B104" s="5"/>
      <c r="C104" s="5"/>
      <c r="D104" s="5"/>
      <c r="E104" s="5"/>
      <c r="F104" s="5"/>
    </row>
    <row r="105" spans="1:6" s="138" customFormat="1" ht="36" customHeight="1" x14ac:dyDescent="0.3">
      <c r="A105" s="139" t="s">
        <v>160</v>
      </c>
      <c r="B105" s="140" t="s">
        <v>156</v>
      </c>
      <c r="C105" s="141" t="s">
        <v>834</v>
      </c>
      <c r="D105" s="3" t="s">
        <v>49</v>
      </c>
      <c r="E105" s="3"/>
      <c r="F105" s="3"/>
    </row>
    <row r="106" spans="1:6" ht="60" customHeight="1" x14ac:dyDescent="0.25">
      <c r="A106" s="139" t="s">
        <v>58</v>
      </c>
      <c r="B106" s="140" t="s">
        <v>46</v>
      </c>
      <c r="C106" s="141" t="s">
        <v>59</v>
      </c>
      <c r="D106" s="3" t="s">
        <v>63</v>
      </c>
      <c r="E106" s="3"/>
      <c r="F106" s="3"/>
    </row>
    <row r="107" spans="1:6" ht="34.5" customHeight="1" x14ac:dyDescent="0.25">
      <c r="A107" s="139" t="s">
        <v>90</v>
      </c>
      <c r="B107" s="140" t="s">
        <v>89</v>
      </c>
      <c r="C107" s="4" t="s">
        <v>91</v>
      </c>
      <c r="D107" s="4"/>
      <c r="E107" s="4"/>
      <c r="F107" s="4"/>
    </row>
    <row r="108" spans="1:6" ht="24" customHeight="1" x14ac:dyDescent="0.25">
      <c r="A108" s="139" t="s">
        <v>302</v>
      </c>
      <c r="B108" s="140" t="s">
        <v>81</v>
      </c>
      <c r="C108" s="141" t="s">
        <v>303</v>
      </c>
      <c r="D108" s="3" t="s">
        <v>63</v>
      </c>
      <c r="E108" s="3"/>
      <c r="F108" s="3"/>
    </row>
    <row r="109" spans="1:6" ht="48" customHeight="1" x14ac:dyDescent="0.25">
      <c r="A109" s="139" t="s">
        <v>461</v>
      </c>
      <c r="B109" s="140" t="s">
        <v>46</v>
      </c>
      <c r="C109" s="141" t="s">
        <v>462</v>
      </c>
      <c r="D109" s="3" t="s">
        <v>63</v>
      </c>
      <c r="E109" s="3"/>
      <c r="F109" s="3"/>
    </row>
    <row r="110" spans="1:6" ht="60" customHeight="1" x14ac:dyDescent="0.25">
      <c r="A110" s="139" t="s">
        <v>477</v>
      </c>
      <c r="B110" s="140" t="s">
        <v>105</v>
      </c>
      <c r="C110" s="141" t="s">
        <v>835</v>
      </c>
      <c r="D110" s="3" t="s">
        <v>480</v>
      </c>
      <c r="E110" s="3"/>
      <c r="F110" s="3"/>
    </row>
    <row r="111" spans="1:6" ht="48" customHeight="1" x14ac:dyDescent="0.25">
      <c r="A111" s="143" t="s">
        <v>482</v>
      </c>
      <c r="B111" s="145" t="s">
        <v>481</v>
      </c>
      <c r="C111" s="146" t="s">
        <v>836</v>
      </c>
      <c r="D111" s="3" t="s">
        <v>480</v>
      </c>
      <c r="E111" s="3"/>
      <c r="F111" s="3"/>
    </row>
    <row r="112" spans="1:6" ht="63.75" customHeight="1" x14ac:dyDescent="0.25">
      <c r="A112" s="139" t="s">
        <v>536</v>
      </c>
      <c r="B112" s="140" t="s">
        <v>535</v>
      </c>
      <c r="C112" s="4" t="s">
        <v>537</v>
      </c>
      <c r="D112" s="4"/>
      <c r="E112" s="4"/>
      <c r="F112" s="4"/>
    </row>
    <row r="113" spans="1:6" s="138" customFormat="1" ht="18.75" x14ac:dyDescent="0.3">
      <c r="A113" s="5" t="s">
        <v>353</v>
      </c>
      <c r="B113" s="5"/>
      <c r="C113" s="5"/>
      <c r="D113" s="5"/>
      <c r="E113" s="5"/>
      <c r="F113" s="5"/>
    </row>
    <row r="114" spans="1:6" ht="48" customHeight="1" x14ac:dyDescent="0.25">
      <c r="A114" s="139" t="s">
        <v>351</v>
      </c>
      <c r="B114" s="140" t="s">
        <v>350</v>
      </c>
      <c r="C114" s="141" t="s">
        <v>352</v>
      </c>
      <c r="D114" s="3" t="s">
        <v>170</v>
      </c>
      <c r="E114" s="3"/>
      <c r="F114" s="3"/>
    </row>
    <row r="115" spans="1:6" ht="60" customHeight="1" x14ac:dyDescent="0.25">
      <c r="A115" s="139" t="s">
        <v>370</v>
      </c>
      <c r="B115" s="140" t="s">
        <v>350</v>
      </c>
      <c r="C115" s="141" t="s">
        <v>371</v>
      </c>
      <c r="D115" s="3" t="s">
        <v>170</v>
      </c>
      <c r="E115" s="3"/>
      <c r="F115" s="3"/>
    </row>
    <row r="116" spans="1:6" ht="15" customHeight="1" x14ac:dyDescent="0.25">
      <c r="A116" s="139" t="s">
        <v>374</v>
      </c>
      <c r="B116" s="140" t="s">
        <v>350</v>
      </c>
      <c r="C116" s="141" t="s">
        <v>375</v>
      </c>
      <c r="D116" s="3" t="s">
        <v>170</v>
      </c>
      <c r="E116" s="3"/>
      <c r="F116" s="3"/>
    </row>
    <row r="117" spans="1:6" ht="60" customHeight="1" x14ac:dyDescent="0.25">
      <c r="A117" s="139" t="s">
        <v>379</v>
      </c>
      <c r="B117" s="140" t="s">
        <v>350</v>
      </c>
      <c r="C117" s="141" t="s">
        <v>380</v>
      </c>
      <c r="D117" s="3" t="s">
        <v>170</v>
      </c>
      <c r="E117" s="3"/>
      <c r="F117" s="3"/>
    </row>
    <row r="118" spans="1:6" ht="60" customHeight="1" x14ac:dyDescent="0.25">
      <c r="A118" s="139" t="s">
        <v>406</v>
      </c>
      <c r="B118" s="140" t="s">
        <v>350</v>
      </c>
      <c r="C118" s="141" t="s">
        <v>407</v>
      </c>
      <c r="D118" s="3" t="s">
        <v>170</v>
      </c>
      <c r="E118" s="3"/>
      <c r="F118" s="3"/>
    </row>
    <row r="119" spans="1:6" ht="24" customHeight="1" x14ac:dyDescent="0.3">
      <c r="A119" s="5" t="s">
        <v>837</v>
      </c>
      <c r="B119" s="5"/>
      <c r="C119" s="5"/>
      <c r="D119" s="5"/>
      <c r="E119" s="5"/>
      <c r="F119" s="5"/>
    </row>
    <row r="120" spans="1:6" ht="42.75" customHeight="1" x14ac:dyDescent="0.25">
      <c r="A120" s="139" t="s">
        <v>185</v>
      </c>
      <c r="B120" s="140" t="s">
        <v>166</v>
      </c>
      <c r="C120" s="141" t="s">
        <v>186</v>
      </c>
      <c r="D120" s="3" t="s">
        <v>188</v>
      </c>
      <c r="E120" s="3"/>
      <c r="F120" s="3"/>
    </row>
    <row r="121" spans="1:6" ht="44.25" customHeight="1" x14ac:dyDescent="0.25">
      <c r="A121" s="139" t="s">
        <v>558</v>
      </c>
      <c r="B121" s="140" t="s">
        <v>557</v>
      </c>
      <c r="C121" s="4" t="s">
        <v>559</v>
      </c>
      <c r="D121" s="4"/>
      <c r="E121" s="4"/>
      <c r="F121" s="4"/>
    </row>
    <row r="122" spans="1:6" s="138" customFormat="1" ht="18.75" x14ac:dyDescent="0.3">
      <c r="A122" s="5" t="s">
        <v>235</v>
      </c>
      <c r="B122" s="5"/>
      <c r="C122" s="5"/>
      <c r="D122" s="5"/>
      <c r="E122" s="5"/>
      <c r="F122" s="5"/>
    </row>
    <row r="123" spans="1:6" ht="36" customHeight="1" x14ac:dyDescent="0.25">
      <c r="A123" s="139" t="s">
        <v>233</v>
      </c>
      <c r="B123" s="140" t="s">
        <v>232</v>
      </c>
      <c r="C123" s="141" t="s">
        <v>234</v>
      </c>
      <c r="D123" s="3" t="s">
        <v>236</v>
      </c>
      <c r="E123" s="3"/>
      <c r="F123" s="3"/>
    </row>
    <row r="124" spans="1:6" ht="36" customHeight="1" x14ac:dyDescent="0.25">
      <c r="A124" s="139" t="s">
        <v>250</v>
      </c>
      <c r="B124" s="140" t="s">
        <v>249</v>
      </c>
      <c r="C124" s="141" t="s">
        <v>251</v>
      </c>
      <c r="D124" s="3" t="s">
        <v>236</v>
      </c>
      <c r="E124" s="3"/>
      <c r="F124" s="3"/>
    </row>
    <row r="125" spans="1:6" ht="36" customHeight="1" x14ac:dyDescent="0.25">
      <c r="A125" s="139" t="s">
        <v>322</v>
      </c>
      <c r="B125" s="140" t="s">
        <v>321</v>
      </c>
      <c r="C125" s="4" t="s">
        <v>323</v>
      </c>
      <c r="D125" s="4"/>
      <c r="E125" s="4"/>
      <c r="F125" s="4"/>
    </row>
    <row r="126" spans="1:6" ht="60" customHeight="1" x14ac:dyDescent="0.25">
      <c r="A126" s="139" t="s">
        <v>412</v>
      </c>
      <c r="B126" s="140" t="s">
        <v>411</v>
      </c>
      <c r="C126" s="141" t="s">
        <v>413</v>
      </c>
      <c r="D126" s="3" t="s">
        <v>187</v>
      </c>
      <c r="E126" s="3"/>
      <c r="F126" s="3"/>
    </row>
    <row r="127" spans="1:6" s="138" customFormat="1" ht="18.75" x14ac:dyDescent="0.3">
      <c r="A127" s="5" t="s">
        <v>53</v>
      </c>
      <c r="B127" s="5"/>
      <c r="C127" s="5"/>
      <c r="D127" s="5"/>
      <c r="E127" s="5"/>
      <c r="F127" s="5"/>
    </row>
    <row r="128" spans="1:6" ht="48" customHeight="1" x14ac:dyDescent="0.25">
      <c r="A128" s="139" t="s">
        <v>82</v>
      </c>
      <c r="B128" s="140" t="s">
        <v>81</v>
      </c>
      <c r="C128" s="141" t="s">
        <v>83</v>
      </c>
      <c r="D128" s="3" t="s">
        <v>52</v>
      </c>
      <c r="E128" s="3"/>
      <c r="F128" s="3"/>
    </row>
    <row r="129" spans="1:6" ht="36" customHeight="1" x14ac:dyDescent="0.25">
      <c r="A129" s="139" t="s">
        <v>133</v>
      </c>
      <c r="B129" s="140" t="s">
        <v>132</v>
      </c>
      <c r="C129" s="141" t="s">
        <v>134</v>
      </c>
      <c r="D129" s="3" t="s">
        <v>137</v>
      </c>
      <c r="E129" s="3"/>
      <c r="F129" s="3"/>
    </row>
    <row r="130" spans="1:6" ht="60" customHeight="1" x14ac:dyDescent="0.25">
      <c r="A130" s="139" t="s">
        <v>465</v>
      </c>
      <c r="B130" s="140" t="s">
        <v>464</v>
      </c>
      <c r="C130" s="141" t="s">
        <v>466</v>
      </c>
      <c r="D130" s="3" t="s">
        <v>137</v>
      </c>
      <c r="E130" s="3"/>
      <c r="F130" s="3"/>
    </row>
    <row r="131" spans="1:6" ht="53.25" customHeight="1" x14ac:dyDescent="0.25">
      <c r="A131" s="139" t="s">
        <v>838</v>
      </c>
      <c r="B131" s="140" t="s">
        <v>488</v>
      </c>
      <c r="C131" s="4" t="s">
        <v>490</v>
      </c>
      <c r="D131" s="4"/>
      <c r="E131" s="4"/>
      <c r="F131" s="4"/>
    </row>
    <row r="132" spans="1:6" ht="53.25" customHeight="1" x14ac:dyDescent="0.25">
      <c r="A132" s="139" t="s">
        <v>540</v>
      </c>
      <c r="B132" s="140" t="s">
        <v>539</v>
      </c>
      <c r="C132" s="2" t="s">
        <v>839</v>
      </c>
      <c r="D132" s="2"/>
      <c r="E132" s="2"/>
      <c r="F132" s="2"/>
    </row>
    <row r="133" spans="1:6" ht="53.25" customHeight="1" x14ac:dyDescent="0.25">
      <c r="A133" s="139" t="s">
        <v>489</v>
      </c>
      <c r="B133" s="140" t="s">
        <v>488</v>
      </c>
      <c r="C133" s="4" t="s">
        <v>490</v>
      </c>
      <c r="D133" s="4"/>
      <c r="E133" s="4"/>
      <c r="F133" s="4"/>
    </row>
    <row r="134" spans="1:6" s="138" customFormat="1" ht="18.75" x14ac:dyDescent="0.3">
      <c r="A134" s="5" t="s">
        <v>301</v>
      </c>
      <c r="B134" s="5"/>
      <c r="C134" s="5"/>
      <c r="D134" s="5"/>
      <c r="E134" s="5"/>
      <c r="F134" s="5"/>
    </row>
    <row r="135" spans="1:6" ht="88.5" customHeight="1" x14ac:dyDescent="0.25">
      <c r="A135" s="147" t="s">
        <v>299</v>
      </c>
      <c r="B135" s="148" t="s">
        <v>840</v>
      </c>
      <c r="C135" s="148" t="s">
        <v>300</v>
      </c>
      <c r="D135" s="3" t="s">
        <v>841</v>
      </c>
      <c r="E135" s="3"/>
      <c r="F135" s="3"/>
    </row>
    <row r="136" spans="1:6" s="138" customFormat="1" ht="18.75" x14ac:dyDescent="0.3">
      <c r="A136" s="5" t="s">
        <v>434</v>
      </c>
      <c r="B136" s="5"/>
      <c r="C136" s="5"/>
      <c r="D136" s="5"/>
      <c r="E136" s="5"/>
      <c r="F136" s="5"/>
    </row>
    <row r="137" spans="1:6" ht="29.25" customHeight="1" x14ac:dyDescent="0.25">
      <c r="A137" s="139" t="s">
        <v>432</v>
      </c>
      <c r="B137" s="140" t="s">
        <v>431</v>
      </c>
      <c r="C137" s="4" t="s">
        <v>433</v>
      </c>
      <c r="D137" s="4"/>
      <c r="E137" s="4"/>
      <c r="F137" s="4"/>
    </row>
    <row r="138" spans="1:6" ht="29.25" customHeight="1" x14ac:dyDescent="0.25">
      <c r="A138" s="139" t="s">
        <v>441</v>
      </c>
      <c r="B138" s="140" t="s">
        <v>440</v>
      </c>
      <c r="C138" s="4" t="s">
        <v>442</v>
      </c>
      <c r="D138" s="4"/>
      <c r="E138" s="4"/>
      <c r="F138" s="4"/>
    </row>
    <row r="139" spans="1:6" ht="41.25" customHeight="1" x14ac:dyDescent="0.25">
      <c r="A139" s="143" t="s">
        <v>459</v>
      </c>
      <c r="B139" s="145" t="s">
        <v>458</v>
      </c>
      <c r="C139" s="1" t="s">
        <v>460</v>
      </c>
      <c r="D139" s="1"/>
      <c r="E139" s="1"/>
      <c r="F139" s="1"/>
    </row>
    <row r="140" spans="1:6" ht="29.25" customHeight="1" x14ac:dyDescent="0.25">
      <c r="A140" s="139" t="s">
        <v>471</v>
      </c>
      <c r="B140" s="140" t="s">
        <v>470</v>
      </c>
      <c r="C140" s="4" t="s">
        <v>472</v>
      </c>
      <c r="D140" s="4"/>
      <c r="E140" s="4"/>
      <c r="F140" s="4"/>
    </row>
    <row r="141" spans="1:6" s="138" customFormat="1" ht="18.75" x14ac:dyDescent="0.3">
      <c r="A141" s="5" t="s">
        <v>480</v>
      </c>
      <c r="B141" s="5"/>
      <c r="C141" s="5"/>
      <c r="D141" s="5"/>
      <c r="E141" s="5"/>
      <c r="F141" s="5"/>
    </row>
    <row r="142" spans="1:6" ht="66.75" customHeight="1" x14ac:dyDescent="0.25">
      <c r="A142" s="139" t="s">
        <v>554</v>
      </c>
      <c r="B142" s="140" t="s">
        <v>553</v>
      </c>
      <c r="C142" s="4" t="s">
        <v>555</v>
      </c>
      <c r="D142" s="4"/>
      <c r="E142" s="4"/>
      <c r="F142" s="4"/>
    </row>
  </sheetData>
  <mergeCells count="138">
    <mergeCell ref="C140:F140"/>
    <mergeCell ref="A141:F141"/>
    <mergeCell ref="C142:F142"/>
    <mergeCell ref="C131:F131"/>
    <mergeCell ref="C132:F132"/>
    <mergeCell ref="C133:F133"/>
    <mergeCell ref="A134:F134"/>
    <mergeCell ref="D135:F135"/>
    <mergeCell ref="A136:F136"/>
    <mergeCell ref="C137:F137"/>
    <mergeCell ref="C138:F138"/>
    <mergeCell ref="C139:F139"/>
    <mergeCell ref="A122:F122"/>
    <mergeCell ref="D123:F123"/>
    <mergeCell ref="D124:F124"/>
    <mergeCell ref="C125:F125"/>
    <mergeCell ref="D126:F126"/>
    <mergeCell ref="A127:F127"/>
    <mergeCell ref="D128:F128"/>
    <mergeCell ref="D129:F129"/>
    <mergeCell ref="D130:F130"/>
    <mergeCell ref="A113:F113"/>
    <mergeCell ref="D114:F114"/>
    <mergeCell ref="D115:F115"/>
    <mergeCell ref="D116:F116"/>
    <mergeCell ref="D117:F117"/>
    <mergeCell ref="D118:F118"/>
    <mergeCell ref="A119:F119"/>
    <mergeCell ref="D120:F120"/>
    <mergeCell ref="C121:F121"/>
    <mergeCell ref="A104:F104"/>
    <mergeCell ref="D105:F105"/>
    <mergeCell ref="D106:F106"/>
    <mergeCell ref="C107:F107"/>
    <mergeCell ref="D108:F108"/>
    <mergeCell ref="D109:F109"/>
    <mergeCell ref="D110:F110"/>
    <mergeCell ref="D111:F111"/>
    <mergeCell ref="C112:F112"/>
    <mergeCell ref="D95:F95"/>
    <mergeCell ref="C96:F96"/>
    <mergeCell ref="A97:F97"/>
    <mergeCell ref="D98:F98"/>
    <mergeCell ref="D99:F99"/>
    <mergeCell ref="D100:F100"/>
    <mergeCell ref="D101:F101"/>
    <mergeCell ref="D102:F102"/>
    <mergeCell ref="D103:F103"/>
    <mergeCell ref="D86:F86"/>
    <mergeCell ref="D87:F87"/>
    <mergeCell ref="D88:F88"/>
    <mergeCell ref="D89:F89"/>
    <mergeCell ref="C90:F90"/>
    <mergeCell ref="A91:F91"/>
    <mergeCell ref="C92:F92"/>
    <mergeCell ref="A93:F93"/>
    <mergeCell ref="C94:F94"/>
    <mergeCell ref="D77:F77"/>
    <mergeCell ref="D78:F78"/>
    <mergeCell ref="D79:F79"/>
    <mergeCell ref="C80:F80"/>
    <mergeCell ref="D81:F81"/>
    <mergeCell ref="D82:F82"/>
    <mergeCell ref="D83:F83"/>
    <mergeCell ref="D84:F84"/>
    <mergeCell ref="D85:F85"/>
    <mergeCell ref="A68:F68"/>
    <mergeCell ref="C69:F69"/>
    <mergeCell ref="A70:F70"/>
    <mergeCell ref="C71:F71"/>
    <mergeCell ref="D72:F72"/>
    <mergeCell ref="C73:F73"/>
    <mergeCell ref="A74:F74"/>
    <mergeCell ref="D75:F75"/>
    <mergeCell ref="C76:F76"/>
    <mergeCell ref="D58:F58"/>
    <mergeCell ref="A59:F59"/>
    <mergeCell ref="C60:F60"/>
    <mergeCell ref="D61:F61"/>
    <mergeCell ref="A62:F62"/>
    <mergeCell ref="A64:F64"/>
    <mergeCell ref="D65:F65"/>
    <mergeCell ref="A66:F66"/>
    <mergeCell ref="D67:F67"/>
    <mergeCell ref="D48:F48"/>
    <mergeCell ref="D49:F49"/>
    <mergeCell ref="C50:F50"/>
    <mergeCell ref="C51:F51"/>
    <mergeCell ref="A52:F52"/>
    <mergeCell ref="C53:F53"/>
    <mergeCell ref="C54:F54"/>
    <mergeCell ref="C55:F55"/>
    <mergeCell ref="A56:F56"/>
    <mergeCell ref="C39:F39"/>
    <mergeCell ref="C40:F40"/>
    <mergeCell ref="D41:F41"/>
    <mergeCell ref="D42:F42"/>
    <mergeCell ref="A43:F43"/>
    <mergeCell ref="D44:F44"/>
    <mergeCell ref="D45:F45"/>
    <mergeCell ref="A46:F46"/>
    <mergeCell ref="D47:F47"/>
    <mergeCell ref="D30:F30"/>
    <mergeCell ref="D31:F31"/>
    <mergeCell ref="D32:F32"/>
    <mergeCell ref="D33:F33"/>
    <mergeCell ref="D34:F34"/>
    <mergeCell ref="D35:F35"/>
    <mergeCell ref="D36:F36"/>
    <mergeCell ref="D37:F37"/>
    <mergeCell ref="A38:F38"/>
    <mergeCell ref="D19:F19"/>
    <mergeCell ref="A20:F20"/>
    <mergeCell ref="D23:F23"/>
    <mergeCell ref="A24:F24"/>
    <mergeCell ref="D25:F25"/>
    <mergeCell ref="C26:F26"/>
    <mergeCell ref="A27:F27"/>
    <mergeCell ref="D28:F28"/>
    <mergeCell ref="A29:F29"/>
    <mergeCell ref="D10:F10"/>
    <mergeCell ref="C11:F11"/>
    <mergeCell ref="D12:F12"/>
    <mergeCell ref="D13:F13"/>
    <mergeCell ref="D14:F14"/>
    <mergeCell ref="D15:F15"/>
    <mergeCell ref="A16:F16"/>
    <mergeCell ref="C17:F17"/>
    <mergeCell ref="A18:F18"/>
    <mergeCell ref="A1:F1"/>
    <mergeCell ref="C2:F2"/>
    <mergeCell ref="A3:F3"/>
    <mergeCell ref="C4:F4"/>
    <mergeCell ref="C5:F5"/>
    <mergeCell ref="C6:F6"/>
    <mergeCell ref="C7:F7"/>
    <mergeCell ref="C8:F8"/>
    <mergeCell ref="A9:F9"/>
  </mergeCells>
  <printOptions horizontalCentered="1" verticalCentered="1"/>
  <pageMargins left="0.43333333333333302" right="0.43333333333333302" top="0.55138888888888904" bottom="0.55138888888888904" header="0.511811023622047" footer="0.511811023622047"/>
  <pageSetup paperSize="9" orientation="landscape" horizontalDpi="300" verticalDpi="30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'LISTAS SUSPENSAS'!$E$10:$E$114</xm:f>
          </x14:formula1>
          <x14:formula2>
            <xm:f>0</xm:f>
          </x14:formula2>
          <xm:sqref>D10 D12:D15 D19 D21:F22 D23 D25 D28 D30:D37 D41:D42 D44:D45 D47:D49 D57:F57 D58 D61 E63:F63 D72 D75 D77:D79 D81:D89 D95 D98:D103 D105:D106 D108:D111 D114:D118 D120 D123:D124 D126 D128:D130</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15627</TotalTime>
  <Application>Microsoft Excel</Application>
  <DocSecurity>0</DocSecurity>
  <ScaleCrop>false</ScaleCrop>
  <HeadingPairs>
    <vt:vector size="4" baseType="variant">
      <vt:variant>
        <vt:lpstr>Planilhas</vt:lpstr>
      </vt:variant>
      <vt:variant>
        <vt:i4>5</vt:i4>
      </vt:variant>
      <vt:variant>
        <vt:lpstr>Intervalos Nomeados</vt:lpstr>
      </vt:variant>
      <vt:variant>
        <vt:i4>19</vt:i4>
      </vt:variant>
    </vt:vector>
  </HeadingPairs>
  <TitlesOfParts>
    <vt:vector size="24" baseType="lpstr">
      <vt:lpstr>CONTRATOS VIGENTES</vt:lpstr>
      <vt:lpstr>FORNECIMENTO_SMA</vt:lpstr>
      <vt:lpstr>CONTRATOS FINALIZADOS</vt:lpstr>
      <vt:lpstr>LISTAS SUSPENSAS</vt:lpstr>
      <vt:lpstr>FISCAIS</vt:lpstr>
      <vt:lpstr>'CONTRATOS FINALIZADOS'!_FilterDatabase_0</vt:lpstr>
      <vt:lpstr>'CONTRATOS VIGENTES'!_FilterDatabase_0</vt:lpstr>
      <vt:lpstr>'CONTRATOS FINALIZADOS'!Z_48C5F9D6_E054_4D18_B900_70E7EC6A126C_.wvu.FilterData</vt:lpstr>
      <vt:lpstr>'CONTRATOS VIGENTES'!Z_48C5F9D6_E054_4D18_B900_70E7EC6A126C_.wvu.FilterData</vt:lpstr>
      <vt:lpstr>FORNECIMENTO_SMA!Z_48C5F9D6_E054_4D18_B900_70E7EC6A126C_.wvu.FilterData</vt:lpstr>
      <vt:lpstr>'CONTRATOS FINALIZADOS'!Z_53658696_8B82_4D2F_8FC2_6D2371F4AC0F_.wvu.FilterData</vt:lpstr>
      <vt:lpstr>'CONTRATOS VIGENTES'!Z_53658696_8B82_4D2F_8FC2_6D2371F4AC0F_.wvu.FilterData</vt:lpstr>
      <vt:lpstr>'CONTRATOS FINALIZADOS'!Z_5C5D17F7_9EC8_4629_B16B_61F6A3ED0E80_.wvu.FilterData</vt:lpstr>
      <vt:lpstr>'CONTRATOS VIGENTES'!Z_5C5D17F7_9EC8_4629_B16B_61F6A3ED0E80_.wvu.FilterData</vt:lpstr>
      <vt:lpstr>'CONTRATOS FINALIZADOS'!Z_65716689_D68C_4559_9DCB_E668F0A181E6_.wvu.FilterData</vt:lpstr>
      <vt:lpstr>'CONTRATOS VIGENTES'!Z_65716689_D68C_4559_9DCB_E668F0A181E6_.wvu.FilterData</vt:lpstr>
      <vt:lpstr>'CONTRATOS FINALIZADOS'!Z_69B362D0_7DC0_48CB_9578_900201967AC0_.wvu.FilterData</vt:lpstr>
      <vt:lpstr>'CONTRATOS VIGENTES'!Z_69B362D0_7DC0_48CB_9578_900201967AC0_.wvu.FilterData</vt:lpstr>
      <vt:lpstr>'CONTRATOS FINALIZADOS'!Z_9A0E25A5_90C6_4230_B92C_F47C46FEABC9_.wvu.FilterData</vt:lpstr>
      <vt:lpstr>'CONTRATOS VIGENTES'!Z_9A0E25A5_90C6_4230_B92C_F47C46FEABC9_.wvu.FilterData</vt:lpstr>
      <vt:lpstr>'CONTRATOS FINALIZADOS'!Z_E6611980_E9E7_49CC_82EA_07A0C87DCC58_.wvu.FilterData</vt:lpstr>
      <vt:lpstr>'CONTRATOS VIGENTES'!Z_E6611980_E9E7_49CC_82EA_07A0C87DCC58_.wvu.FilterData</vt:lpstr>
      <vt:lpstr>'CONTRATOS FINALIZADOS'!Z_F53F981B_AC5F_4B70_8AE7_319F0CF75366_.wvu.FilterData</vt:lpstr>
      <vt:lpstr>'CONTRATOS VIGENTES'!Z_F53F981B_AC5F_4B70_8AE7_319F0CF75366_.wvu.FilterData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Monique Bens</dc:creator>
  <dc:description/>
  <cp:lastModifiedBy>Fernanda Justino Barbosa</cp:lastModifiedBy>
  <cp:revision>369</cp:revision>
  <cp:lastPrinted>2023-07-28T15:14:44Z</cp:lastPrinted>
  <dcterms:created xsi:type="dcterms:W3CDTF">2021-04-10T08:00:01Z</dcterms:created>
  <dcterms:modified xsi:type="dcterms:W3CDTF">2023-09-14T14:34:18Z</dcterms:modified>
  <dc:language>pt-BR</dc:language>
</cp:coreProperties>
</file>